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5105" windowHeight="5310" tabRatio="594"/>
  </bookViews>
  <sheets>
    <sheet name="obliczenia" sheetId="12" r:id="rId1"/>
    <sheet name="CWU" sheetId="3" r:id="rId2"/>
    <sheet name="scop pompy" sheetId="6" state="hidden" r:id="rId3"/>
    <sheet name="urządzenia pomocnicze" sheetId="7" r:id="rId4"/>
    <sheet name="kolektory słoneczne" sheetId="8" r:id="rId5"/>
    <sheet name="fotowoltaika" sheetId="11" r:id="rId6"/>
    <sheet name="emisje i wskaźniki" sheetId="14" r:id="rId7"/>
  </sheets>
  <calcPr calcId="145621"/>
</workbook>
</file>

<file path=xl/calcChain.xml><?xml version="1.0" encoding="utf-8"?>
<calcChain xmlns="http://schemas.openxmlformats.org/spreadsheetml/2006/main">
  <c r="F40" i="14" l="1"/>
  <c r="G39" i="14"/>
  <c r="M24" i="14" l="1"/>
  <c r="M20" i="14"/>
  <c r="M21" i="14"/>
  <c r="M22" i="14"/>
  <c r="M23" i="14"/>
  <c r="M25" i="14"/>
  <c r="M26" i="14"/>
  <c r="M27" i="14"/>
  <c r="M28" i="14"/>
  <c r="M29" i="14"/>
  <c r="M19" i="14"/>
  <c r="M5" i="14"/>
  <c r="M6" i="14"/>
  <c r="M7" i="14"/>
  <c r="M8" i="14"/>
  <c r="M9" i="14"/>
  <c r="M10" i="14"/>
  <c r="M11" i="14"/>
  <c r="M12" i="14"/>
  <c r="M13" i="14"/>
  <c r="M14" i="14"/>
  <c r="M15" i="14"/>
  <c r="M16" i="14"/>
  <c r="M4" i="14"/>
  <c r="D69" i="12" l="1"/>
  <c r="D62" i="12"/>
  <c r="E35" i="14" l="1"/>
  <c r="G43" i="14"/>
  <c r="G45" i="14"/>
  <c r="G42" i="14"/>
  <c r="G44" i="14"/>
  <c r="D86" i="12"/>
  <c r="D70" i="12"/>
  <c r="D63" i="12"/>
  <c r="E56" i="14"/>
  <c r="F61" i="14"/>
  <c r="E61" i="14"/>
  <c r="F60" i="14"/>
  <c r="E60" i="14"/>
  <c r="F59" i="14"/>
  <c r="E59" i="14"/>
  <c r="F58" i="14"/>
  <c r="E58" i="14"/>
  <c r="F57" i="14"/>
  <c r="E57" i="14"/>
  <c r="F56" i="14"/>
  <c r="F55" i="14"/>
  <c r="E55" i="14"/>
  <c r="F54" i="14"/>
  <c r="E54" i="14"/>
  <c r="D31" i="12"/>
  <c r="D36" i="12" s="1"/>
  <c r="D25" i="7"/>
  <c r="D24" i="7"/>
  <c r="D23" i="7"/>
  <c r="D22" i="7"/>
  <c r="D21" i="7"/>
  <c r="D20" i="7"/>
  <c r="D19" i="7"/>
  <c r="D11" i="7"/>
  <c r="D16" i="7"/>
  <c r="D15" i="7"/>
  <c r="D13" i="7"/>
  <c r="D12" i="7"/>
  <c r="D14" i="7"/>
  <c r="E39" i="14"/>
  <c r="E34" i="14"/>
  <c r="D85" i="12"/>
  <c r="C67" i="12"/>
  <c r="D18" i="12"/>
  <c r="D19" i="12" s="1"/>
  <c r="C27" i="12"/>
  <c r="G36" i="14"/>
  <c r="E36" i="14"/>
  <c r="C26" i="12"/>
  <c r="E38" i="14"/>
  <c r="D68" i="12" s="1"/>
  <c r="E37" i="14"/>
  <c r="D91" i="12" l="1"/>
  <c r="D44" i="12"/>
  <c r="D92" i="12"/>
  <c r="D71" i="12"/>
  <c r="D22" i="12"/>
  <c r="D23" i="12" s="1"/>
  <c r="D27" i="12"/>
  <c r="D28" i="12" s="1"/>
  <c r="C68" i="12"/>
  <c r="G38" i="14"/>
  <c r="G37" i="14"/>
  <c r="G35" i="14"/>
  <c r="E15" i="8"/>
  <c r="K15" i="8" s="1"/>
  <c r="E14" i="8"/>
  <c r="K14" i="8" s="1"/>
  <c r="E13" i="8"/>
  <c r="K13" i="8" s="1"/>
  <c r="E12" i="8"/>
  <c r="K12" i="8" s="1"/>
  <c r="E11" i="8"/>
  <c r="K11" i="8" s="1"/>
  <c r="E10" i="8"/>
  <c r="K10" i="8" s="1"/>
  <c r="E9" i="8"/>
  <c r="K9" i="8" s="1"/>
  <c r="E8" i="8"/>
  <c r="K8" i="8" s="1"/>
  <c r="E7" i="8"/>
  <c r="K7" i="8" s="1"/>
  <c r="E6" i="8"/>
  <c r="K6" i="8" s="1"/>
  <c r="E5" i="8"/>
  <c r="K5" i="8" s="1"/>
  <c r="E4" i="8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K26" i="8" s="1"/>
  <c r="E25" i="8"/>
  <c r="F25" i="8" s="1"/>
  <c r="E24" i="8"/>
  <c r="K24" i="8" s="1"/>
  <c r="E23" i="8"/>
  <c r="F23" i="8" s="1"/>
  <c r="E22" i="8"/>
  <c r="F22" i="8" s="1"/>
  <c r="E21" i="8"/>
  <c r="F21" i="8" s="1"/>
  <c r="D37" i="12"/>
  <c r="N12" i="6"/>
  <c r="M12" i="6"/>
  <c r="R12" i="6" s="1"/>
  <c r="L12" i="6"/>
  <c r="N11" i="6"/>
  <c r="M11" i="6"/>
  <c r="R11" i="6" s="1"/>
  <c r="L11" i="6"/>
  <c r="R6" i="6"/>
  <c r="N6" i="6"/>
  <c r="N5" i="6"/>
  <c r="M16" i="6" l="1"/>
  <c r="M17" i="6"/>
  <c r="D93" i="12"/>
  <c r="M23" i="6"/>
  <c r="M29" i="6" s="1"/>
  <c r="M22" i="6"/>
  <c r="M28" i="6" s="1"/>
  <c r="D53" i="12"/>
  <c r="D61" i="12"/>
  <c r="D74" i="12" s="1"/>
  <c r="D72" i="12"/>
  <c r="K4" i="8"/>
  <c r="K17" i="8" s="1"/>
  <c r="F4" i="8"/>
  <c r="D29" i="12"/>
  <c r="D76" i="12"/>
  <c r="K22" i="8"/>
  <c r="K28" i="8"/>
  <c r="K30" i="8"/>
  <c r="F26" i="8"/>
  <c r="F24" i="8"/>
  <c r="K21" i="8"/>
  <c r="K23" i="8"/>
  <c r="K25" i="8"/>
  <c r="K27" i="8"/>
  <c r="K29" i="8"/>
  <c r="K31" i="8"/>
  <c r="K32" i="8"/>
  <c r="F8" i="8"/>
  <c r="F12" i="8"/>
  <c r="F14" i="8"/>
  <c r="F13" i="8"/>
  <c r="F9" i="8"/>
  <c r="F5" i="8"/>
  <c r="F10" i="8"/>
  <c r="F6" i="8"/>
  <c r="F15" i="8"/>
  <c r="F11" i="8"/>
  <c r="F7" i="8"/>
  <c r="D102" i="12" l="1"/>
  <c r="D80" i="12"/>
  <c r="D81" i="12" s="1"/>
  <c r="D73" i="12"/>
  <c r="G12" i="8"/>
  <c r="L12" i="8" s="1"/>
  <c r="M12" i="8" s="1"/>
  <c r="G8" i="8"/>
  <c r="L8" i="8" s="1"/>
  <c r="G4" i="8"/>
  <c r="G13" i="8"/>
  <c r="L13" i="8" s="1"/>
  <c r="M13" i="8" s="1"/>
  <c r="G9" i="8"/>
  <c r="L9" i="8" s="1"/>
  <c r="M9" i="8" s="1"/>
  <c r="G5" i="8"/>
  <c r="L5" i="8" s="1"/>
  <c r="M5" i="8" s="1"/>
  <c r="N5" i="8" s="1"/>
  <c r="G14" i="8"/>
  <c r="L14" i="8" s="1"/>
  <c r="G10" i="8"/>
  <c r="L10" i="8" s="1"/>
  <c r="M10" i="8" s="1"/>
  <c r="N10" i="8" s="1"/>
  <c r="G6" i="8"/>
  <c r="L6" i="8" s="1"/>
  <c r="M6" i="8" s="1"/>
  <c r="G15" i="8"/>
  <c r="L15" i="8" s="1"/>
  <c r="G11" i="8"/>
  <c r="L11" i="8" s="1"/>
  <c r="M11" i="8" s="1"/>
  <c r="N11" i="8" s="1"/>
  <c r="G7" i="8"/>
  <c r="L7" i="8" s="1"/>
  <c r="M7" i="8" s="1"/>
  <c r="N7" i="8" s="1"/>
  <c r="F34" i="8"/>
  <c r="K34" i="8"/>
  <c r="F17" i="8"/>
  <c r="G17" i="8" l="1"/>
  <c r="H4" i="8"/>
  <c r="I4" i="8" s="1"/>
  <c r="J4" i="8" s="1"/>
  <c r="L4" i="8"/>
  <c r="G31" i="8"/>
  <c r="H7" i="8"/>
  <c r="I7" i="8" s="1"/>
  <c r="J7" i="8" s="1"/>
  <c r="H14" i="8"/>
  <c r="I14" i="8" s="1"/>
  <c r="N6" i="8"/>
  <c r="N9" i="8"/>
  <c r="M14" i="8"/>
  <c r="N14" i="8" s="1"/>
  <c r="M8" i="8"/>
  <c r="N8" i="8" s="1"/>
  <c r="H12" i="8"/>
  <c r="I12" i="8" s="1"/>
  <c r="J12" i="8" s="1"/>
  <c r="N12" i="8"/>
  <c r="H10" i="8"/>
  <c r="H6" i="8"/>
  <c r="I6" i="8" s="1"/>
  <c r="M15" i="8"/>
  <c r="N15" i="8" s="1"/>
  <c r="N13" i="8"/>
  <c r="H11" i="8"/>
  <c r="I11" i="8" s="1"/>
  <c r="H15" i="8"/>
  <c r="I15" i="8" s="1"/>
  <c r="H13" i="8"/>
  <c r="I13" i="8" s="1"/>
  <c r="H5" i="8"/>
  <c r="I5" i="8" s="1"/>
  <c r="H9" i="8"/>
  <c r="I9" i="8" s="1"/>
  <c r="H8" i="8"/>
  <c r="I8" i="8" s="1"/>
  <c r="M4" i="8" l="1"/>
  <c r="N4" i="8" s="1"/>
  <c r="N17" i="8" s="1"/>
  <c r="G25" i="8"/>
  <c r="H25" i="8" s="1"/>
  <c r="I25" i="8" s="1"/>
  <c r="J25" i="8" s="1"/>
  <c r="G23" i="8"/>
  <c r="H23" i="8" s="1"/>
  <c r="I23" i="8" s="1"/>
  <c r="J23" i="8" s="1"/>
  <c r="G26" i="8"/>
  <c r="L26" i="8" s="1"/>
  <c r="M26" i="8" s="1"/>
  <c r="N26" i="8" s="1"/>
  <c r="G28" i="8"/>
  <c r="H28" i="8" s="1"/>
  <c r="I28" i="8" s="1"/>
  <c r="J28" i="8" s="1"/>
  <c r="G27" i="8"/>
  <c r="L27" i="8" s="1"/>
  <c r="M27" i="8" s="1"/>
  <c r="N27" i="8" s="1"/>
  <c r="G21" i="8"/>
  <c r="H21" i="8" s="1"/>
  <c r="I21" i="8" s="1"/>
  <c r="J21" i="8" s="1"/>
  <c r="G29" i="8"/>
  <c r="H29" i="8" s="1"/>
  <c r="I29" i="8" s="1"/>
  <c r="J29" i="8" s="1"/>
  <c r="G22" i="8"/>
  <c r="G30" i="8"/>
  <c r="H30" i="8" s="1"/>
  <c r="I30" i="8" s="1"/>
  <c r="J30" i="8" s="1"/>
  <c r="G24" i="8"/>
  <c r="L24" i="8" s="1"/>
  <c r="M24" i="8" s="1"/>
  <c r="N24" i="8" s="1"/>
  <c r="G32" i="8"/>
  <c r="H32" i="8" s="1"/>
  <c r="I32" i="8" s="1"/>
  <c r="J32" i="8" s="1"/>
  <c r="L28" i="8"/>
  <c r="M28" i="8" s="1"/>
  <c r="N28" i="8" s="1"/>
  <c r="L23" i="8"/>
  <c r="M23" i="8" s="1"/>
  <c r="N23" i="8" s="1"/>
  <c r="H31" i="8"/>
  <c r="I31" i="8" s="1"/>
  <c r="J31" i="8" s="1"/>
  <c r="L31" i="8"/>
  <c r="M31" i="8" s="1"/>
  <c r="N31" i="8" s="1"/>
  <c r="J9" i="8"/>
  <c r="J6" i="8"/>
  <c r="I10" i="8"/>
  <c r="J10" i="8" s="1"/>
  <c r="J8" i="8"/>
  <c r="J5" i="8"/>
  <c r="J15" i="8"/>
  <c r="J14" i="8"/>
  <c r="J13" i="8"/>
  <c r="J11" i="8"/>
  <c r="J17" i="8" l="1"/>
  <c r="J18" i="8" s="1"/>
  <c r="H26" i="8"/>
  <c r="I26" i="8" s="1"/>
  <c r="J26" i="8" s="1"/>
  <c r="G34" i="8"/>
  <c r="H27" i="8"/>
  <c r="I27" i="8" s="1"/>
  <c r="J27" i="8" s="1"/>
  <c r="L30" i="8"/>
  <c r="M30" i="8" s="1"/>
  <c r="N30" i="8" s="1"/>
  <c r="L25" i="8"/>
  <c r="M25" i="8" s="1"/>
  <c r="N25" i="8" s="1"/>
  <c r="L32" i="8"/>
  <c r="M32" i="8" s="1"/>
  <c r="N32" i="8" s="1"/>
  <c r="L21" i="8"/>
  <c r="M21" i="8" s="1"/>
  <c r="N21" i="8" s="1"/>
  <c r="H24" i="8"/>
  <c r="I24" i="8" s="1"/>
  <c r="J24" i="8" s="1"/>
  <c r="L29" i="8"/>
  <c r="M29" i="8" s="1"/>
  <c r="N29" i="8" s="1"/>
  <c r="L22" i="8"/>
  <c r="M22" i="8" s="1"/>
  <c r="N22" i="8" s="1"/>
  <c r="H22" i="8"/>
  <c r="I22" i="8" s="1"/>
  <c r="J22" i="8" s="1"/>
  <c r="N18" i="8"/>
  <c r="J34" i="8" l="1"/>
  <c r="J35" i="8" s="1"/>
  <c r="D84" i="12" s="1"/>
  <c r="N34" i="8"/>
  <c r="N35" i="8" s="1"/>
  <c r="D40" i="12"/>
  <c r="D41" i="12" l="1"/>
  <c r="D88" i="12"/>
  <c r="D97" i="12" s="1"/>
  <c r="D50" i="12" l="1"/>
  <c r="D55" i="12"/>
  <c r="F55" i="12" s="1"/>
  <c r="D56" i="12"/>
  <c r="F56" i="12" s="1"/>
  <c r="D99" i="12"/>
  <c r="D48" i="12"/>
  <c r="D52" i="12" s="1"/>
  <c r="D51" i="12"/>
  <c r="D96" i="12"/>
  <c r="D100" i="12"/>
  <c r="D107" i="12"/>
  <c r="F107" i="12" s="1"/>
  <c r="D106" i="12"/>
  <c r="F106" i="12" s="1"/>
  <c r="D87" i="12"/>
  <c r="D109" i="12" l="1"/>
  <c r="D101" i="12"/>
  <c r="D108" i="12"/>
  <c r="D47" i="12"/>
  <c r="D54" i="12" s="1"/>
  <c r="F54" i="12" s="1"/>
  <c r="D103" i="12"/>
  <c r="F103" i="12" s="1"/>
  <c r="D104" i="12" l="1"/>
  <c r="D105" i="12" l="1"/>
  <c r="F104" i="12"/>
</calcChain>
</file>

<file path=xl/comments1.xml><?xml version="1.0" encoding="utf-8"?>
<comments xmlns="http://schemas.openxmlformats.org/spreadsheetml/2006/main">
  <authors>
    <author>Użytkownik systemu Windows</author>
  </authors>
  <commentLis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Drewno opałowe i odpady pochodzenia drzewnego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<sst xmlns="http://schemas.openxmlformats.org/spreadsheetml/2006/main" count="582" uniqueCount="364">
  <si>
    <t>Energia zużywana na ogrzewanie wody użytkowej</t>
  </si>
  <si>
    <t>Efektywność dystrybucji wody dla różnych instalacji.</t>
  </si>
  <si>
    <t>Dystrybucja</t>
  </si>
  <si>
    <t>Efektywność (ηD)</t>
  </si>
  <si>
    <t>Domy jednorodzinne: rury dobrze izolowane</t>
  </si>
  <si>
    <t>Domy jednorodzinne: rury plastikowe</t>
  </si>
  <si>
    <t>Domy jednorodzinne: rury nieizolowane</t>
  </si>
  <si>
    <t>Domy wielorodzinne: rury dobrze izolowane, automatyka</t>
  </si>
  <si>
    <t>Domy wielorodzinne: rury nieizolowane</t>
  </si>
  <si>
    <t>straty energii</t>
  </si>
  <si>
    <t>Zasobnik</t>
  </si>
  <si>
    <t>Efektywność (ηZ)</t>
  </si>
  <si>
    <t>Węzeł cieplny bez zasobnika (podłączenie do ciepłowni zewn.)</t>
  </si>
  <si>
    <t>Efektywność magazynowania i dystrybucji  ηC = ηD · ηZ</t>
  </si>
  <si>
    <t>Zużycie energii na podgrzewanie wody EWodyTot</t>
  </si>
  <si>
    <t>EWodyTot = Liczba mieszkańców · EWody/ηC</t>
  </si>
  <si>
    <t>Źródło ogrzewania</t>
  </si>
  <si>
    <t>Kocioł gazowy standard (propan)</t>
  </si>
  <si>
    <t>Kocioł gazowy kondens. (propan)</t>
  </si>
  <si>
    <t>Terma gazowa z zapłonem elektrycznym</t>
  </si>
  <si>
    <t>Terma gazowa z zapłonem dyżurnym</t>
  </si>
  <si>
    <t>Kocioł olejowy</t>
  </si>
  <si>
    <t>Ogrzewanie elektryczne</t>
  </si>
  <si>
    <t>Emisje CO2 [kg/kWh]</t>
  </si>
  <si>
    <t>5 kWh/kg</t>
  </si>
  <si>
    <t>gaz ziemny</t>
  </si>
  <si>
    <t>cena</t>
  </si>
  <si>
    <t>brutto 1 kWh</t>
  </si>
  <si>
    <t>1 m3</t>
  </si>
  <si>
    <t>bez opłat przesyłowych, abonamentu i in (razem &gt; 2zł/m3)</t>
  </si>
  <si>
    <t>węgiel</t>
  </si>
  <si>
    <t>Mg</t>
  </si>
  <si>
    <t>propan</t>
  </si>
  <si>
    <t>m3</t>
  </si>
  <si>
    <t>1,5 zł za 1l</t>
  </si>
  <si>
    <t>olej</t>
  </si>
  <si>
    <t>1l</t>
  </si>
  <si>
    <t>pellet</t>
  </si>
  <si>
    <t>drewno</t>
  </si>
  <si>
    <t>(500 zł m3)</t>
  </si>
  <si>
    <t>Paliwo</t>
  </si>
  <si>
    <t>Wartość opałowa</t>
  </si>
  <si>
    <t>Cena jednostki</t>
  </si>
  <si>
    <t>Cena 1 kWh</t>
  </si>
  <si>
    <t>Sprawność urządzenia</t>
  </si>
  <si>
    <t>Koszt 1 kWh</t>
  </si>
  <si>
    <t>Węgiel kamienny</t>
  </si>
  <si>
    <t>8 kWh/kg</t>
  </si>
  <si>
    <t>Gaz ziemny W3</t>
  </si>
  <si>
    <t>10 kWh/m3</t>
  </si>
  <si>
    <t>Gaz propan</t>
  </si>
  <si>
    <t>26 kWh/m3</t>
  </si>
  <si>
    <t>Energia elektryczna/pompa ciepła COP=4</t>
  </si>
  <si>
    <t>1 kWh</t>
  </si>
  <si>
    <t>Energia elektryczna/grzejniki elektryczne</t>
  </si>
  <si>
    <t>Olej opałowy</t>
  </si>
  <si>
    <t>10 kWh/dm3</t>
  </si>
  <si>
    <t>Pellet</t>
  </si>
  <si>
    <t>Drewno opałowe</t>
  </si>
  <si>
    <t>4 kWh/kg (uśrednione)</t>
  </si>
  <si>
    <t>Elektrociepłownia (kogeneracja węgiel lub gaz)</t>
  </si>
  <si>
    <t>Ciepłownia (węgiel kamienny)</t>
  </si>
  <si>
    <t>ekogroszek</t>
  </si>
  <si>
    <t>Współczynnik  Ek do Ep</t>
  </si>
  <si>
    <t>węgiel brunatny</t>
  </si>
  <si>
    <t>Elektrociepłownia (węgiel brunatny)</t>
  </si>
  <si>
    <t>jednostka</t>
  </si>
  <si>
    <t>pompa ciepła</t>
  </si>
  <si>
    <t>Miesiąc</t>
  </si>
  <si>
    <t>Energia słońca [45°]</t>
  </si>
  <si>
    <t>Kolektor płaski</t>
  </si>
  <si>
    <t>Kolektor próżniowy</t>
  </si>
  <si>
    <t>Efektywność akumulacji ciepła w systemie ciepłej wody dla różnych instalacji</t>
  </si>
  <si>
    <t>Miejscowe przygotowanie ciepłej wody bezpośrednio przy punktach poboru</t>
  </si>
  <si>
    <t>Kompaktowy węzeł cieplny dla pojedynczego lokalu mieszkalnego, bez obiegu cyrkulacyjnego</t>
  </si>
  <si>
    <t>Sprawności wytwarzania ciepła (dla przygotowania ciepłej wody) w źródłach</t>
  </si>
  <si>
    <t>Sprawność η (c.w.u.)</t>
  </si>
  <si>
    <t>wg rozporządzenia</t>
  </si>
  <si>
    <t>Kotły stałotemperaturowe wyprodukowane przed 1980 r. (tylko przygotowanie ciepłej wody użytkowej)</t>
  </si>
  <si>
    <t>Kotły stałotemperaturowe dwufunkcyjne</t>
  </si>
  <si>
    <t>Kotły niskotemperaturowe o mocy do 50 kW</t>
  </si>
  <si>
    <t>Kotły kondensacyjne, opalane gazem ziemnym lub olejem opałowym o mocy do 50 kW</t>
  </si>
  <si>
    <t>Elektryczny podgrzewacz akumulacyjny</t>
  </si>
  <si>
    <t>Elektryczny podgrzewacz przepływowy</t>
  </si>
  <si>
    <t>Pompa ciepła typu woda/woda, glikol/woda lub bezpośrednie odparowanie w gruncie/woda, sprężarkowa, napędzana elektrycznie</t>
  </si>
  <si>
    <t>Pompa ciepła typu powietrze/woda, napędzana gazem</t>
  </si>
  <si>
    <t>Pompa ciepła typu glikol/woda, napędzana gazem</t>
  </si>
  <si>
    <r>
      <rPr>
        <b/>
        <sz val="13"/>
        <color indexed="54"/>
        <rFont val="Symbol"/>
        <family val="1"/>
        <charset val="2"/>
      </rPr>
      <t>h</t>
    </r>
    <r>
      <rPr>
        <b/>
        <vertAlign val="subscript"/>
        <sz val="13"/>
        <color indexed="54"/>
        <rFont val="Calibri"/>
        <family val="2"/>
        <charset val="238"/>
      </rPr>
      <t>s</t>
    </r>
    <r>
      <rPr>
        <b/>
        <sz val="13"/>
        <color indexed="54"/>
        <rFont val="Calibri"/>
        <family val="2"/>
        <charset val="238"/>
      </rPr>
      <t xml:space="preserve">  z karty produktu i deklaracji producenta</t>
    </r>
  </si>
  <si>
    <t>Klimat</t>
  </si>
  <si>
    <r>
      <rPr>
        <b/>
        <sz val="11"/>
        <color indexed="8"/>
        <rFont val="Symbol"/>
        <family val="1"/>
        <charset val="2"/>
      </rPr>
      <t>h</t>
    </r>
    <r>
      <rPr>
        <b/>
        <vertAlign val="subscript"/>
        <sz val="11"/>
        <color indexed="8"/>
        <rFont val="Calibri"/>
        <family val="2"/>
        <charset val="238"/>
      </rPr>
      <t>s</t>
    </r>
    <r>
      <rPr>
        <b/>
        <sz val="11"/>
        <color indexed="8"/>
        <rFont val="Calibri"/>
        <family val="2"/>
        <charset val="238"/>
      </rPr>
      <t xml:space="preserve">  dla 55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 [%]</t>
    </r>
  </si>
  <si>
    <r>
      <rPr>
        <b/>
        <sz val="11"/>
        <color indexed="8"/>
        <rFont val="Symbol"/>
        <family val="1"/>
        <charset val="2"/>
      </rPr>
      <t>h</t>
    </r>
    <r>
      <rPr>
        <b/>
        <vertAlign val="subscript"/>
        <sz val="11"/>
        <color indexed="8"/>
        <rFont val="Calibri"/>
        <family val="2"/>
        <charset val="238"/>
      </rPr>
      <t>s</t>
    </r>
    <r>
      <rPr>
        <b/>
        <sz val="11"/>
        <color indexed="8"/>
        <rFont val="Calibri"/>
        <family val="2"/>
        <charset val="238"/>
      </rPr>
      <t xml:space="preserve">  dla 35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 [%]</t>
    </r>
  </si>
  <si>
    <t>Klimat umiarkowany</t>
  </si>
  <si>
    <t>Klimat chłodny</t>
  </si>
  <si>
    <t>Przeliczanie SCOP</t>
  </si>
  <si>
    <r>
      <t>SCOP  dla 35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</t>
    </r>
  </si>
  <si>
    <r>
      <t>SCOP  dla 55</t>
    </r>
    <r>
      <rPr>
        <b/>
        <vertAlign val="superscript"/>
        <sz val="11"/>
        <color indexed="8"/>
        <rFont val="Calibri"/>
        <family val="2"/>
        <charset val="238"/>
      </rPr>
      <t>o</t>
    </r>
    <r>
      <rPr>
        <b/>
        <sz val="11"/>
        <color indexed="8"/>
        <rFont val="Calibri"/>
        <family val="2"/>
        <charset val="238"/>
      </rPr>
      <t>C</t>
    </r>
  </si>
  <si>
    <t>Średni spadek  SCOP na każdy 1 K</t>
  </si>
  <si>
    <t>SCOP dla wybranej temperatury proj. zasilania</t>
  </si>
  <si>
    <r>
      <t>Temperatura projektowa zasilania [</t>
    </r>
    <r>
      <rPr>
        <vertAlign val="superscript"/>
        <sz val="11"/>
        <color indexed="8"/>
        <rFont val="Calibri"/>
        <family val="2"/>
        <charset val="238"/>
      </rPr>
      <t>o</t>
    </r>
    <r>
      <rPr>
        <sz val="11"/>
        <color theme="1"/>
        <rFont val="Czcionka tekstu podstawowego"/>
        <family val="2"/>
        <charset val="238"/>
      </rPr>
      <t>C]</t>
    </r>
  </si>
  <si>
    <t>SCOP w klimacie chłodnym</t>
  </si>
  <si>
    <t>SCOP w klimacie umiarkowanym</t>
  </si>
  <si>
    <t>Średni koszt ogrzewania</t>
  </si>
  <si>
    <t>Koszt 1 kWh energi elektr. [gr/kWh]</t>
  </si>
  <si>
    <t>Koszt 1 kWh ciepła w kl. chłodnym [gr/ kWh]</t>
  </si>
  <si>
    <t>Koszt 1 kWh ciepła w kl. umiark. [gr/ kWh]</t>
  </si>
  <si>
    <t>Ppomp ciepła powietrze/woda</t>
  </si>
  <si>
    <t>Dane należy wprowadzać w polu</t>
  </si>
  <si>
    <t>Pompa ciepła typu powietrze/woda</t>
  </si>
  <si>
    <t>Pompa ciepła typu solanka/woda</t>
  </si>
  <si>
    <t>Pompa ciepła typu woda/woda</t>
  </si>
  <si>
    <t>Pompa ciepła typu bezpośrednie odp. w gruncie</t>
  </si>
  <si>
    <r>
      <t>m</t>
    </r>
    <r>
      <rPr>
        <b/>
        <vertAlign val="superscript"/>
        <sz val="11"/>
        <rFont val="Calibri"/>
        <family val="2"/>
        <charset val="238"/>
      </rPr>
      <t>2</t>
    </r>
  </si>
  <si>
    <r>
      <t>kWh/m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/rok</t>
    </r>
  </si>
  <si>
    <t>Liczba osób</t>
  </si>
  <si>
    <t>osób</t>
  </si>
  <si>
    <t>kWh/rok</t>
  </si>
  <si>
    <t>1. Dane wejściowe</t>
  </si>
  <si>
    <t>Powierzchnia ogrzewana budynku / lokalu</t>
  </si>
  <si>
    <t>Czy istnieje szczególnie pilna potrzeba wymiany</t>
  </si>
  <si>
    <t>tak</t>
  </si>
  <si>
    <t>nie</t>
  </si>
  <si>
    <t>Kocioł gazowy nowego typu (gaz ziemny)</t>
  </si>
  <si>
    <t>Kocioł gazowy kondens. (gaz ziemny)</t>
  </si>
  <si>
    <t>Czy istnieje możliwość podłączenia do ciepła sieciowego</t>
  </si>
  <si>
    <t>Czy istnieje możliwość podłączenia do sieci gazowej</t>
  </si>
  <si>
    <t>Istniejące główne źródło ogrzewania (1)</t>
  </si>
  <si>
    <t>Istniejące pomocnicze źródło ogrzewania (2)</t>
  </si>
  <si>
    <t>Rodzaj spalanego paliwa (2)</t>
  </si>
  <si>
    <t>Wartość opałowa spalanego paliwa (2)</t>
  </si>
  <si>
    <t>wartości wpisywane</t>
  </si>
  <si>
    <t>%</t>
  </si>
  <si>
    <t>węgiel kamienny</t>
  </si>
  <si>
    <t>paliwo</t>
  </si>
  <si>
    <t>olej opałowy lekki</t>
  </si>
  <si>
    <t>Piec kaflowy</t>
  </si>
  <si>
    <t>Rodzaj spalanego paliwa (1a)</t>
  </si>
  <si>
    <t>Wartość opałowa spalanego paliwa (1a)</t>
  </si>
  <si>
    <t>Rodzaj spalanego paliwa (1b)</t>
  </si>
  <si>
    <t>Wartość opałowa spalanego paliwa (1b)</t>
  </si>
  <si>
    <t>LEGENDA</t>
  </si>
  <si>
    <t>kg</t>
  </si>
  <si>
    <t>m2</t>
  </si>
  <si>
    <t>kWh/kg</t>
  </si>
  <si>
    <r>
      <t>kWh/r</t>
    </r>
    <r>
      <rPr>
        <b/>
        <sz val="11"/>
        <rFont val="Calibri"/>
        <family val="2"/>
        <charset val="238"/>
      </rPr>
      <t>ok</t>
    </r>
  </si>
  <si>
    <t>Zasobnik na c.w.u</t>
  </si>
  <si>
    <t>Średnia ilość spalanego paliwa (1a)</t>
  </si>
  <si>
    <t>Średnia ilość spalanego paliwa (1b)</t>
  </si>
  <si>
    <t>Średnia ilość spalanego paliwa (2)</t>
  </si>
  <si>
    <t>Urządzenia pomocnicze (pompy obiegowe)</t>
  </si>
  <si>
    <t>Kominek z otwartym paleniskiem</t>
  </si>
  <si>
    <t>1l oleju =0,84kg</t>
  </si>
  <si>
    <t>1l gazu płynnego =0,5 kg</t>
  </si>
  <si>
    <t>Roczne zapotrzebowanie na energię pomocniczą Eel pom</t>
  </si>
  <si>
    <t>Roczne zapotrzebowanie na energię końcową Qk</t>
  </si>
  <si>
    <t>wartości obliczone/domyślne</t>
  </si>
  <si>
    <t>Urządzenie do podgrzania c.w.u</t>
  </si>
  <si>
    <t xml:space="preserve">2. Istniejące źródła ogrzewania </t>
  </si>
  <si>
    <t>Roczne zapotrzebowanie na energię końcową na ogrzewanie i wentylację Qk,h (1a)</t>
  </si>
  <si>
    <t>Roczne zapotrzebowanie na energię końcową na ogrzewanie i wentylację Qk,h (1b)</t>
  </si>
  <si>
    <t>Roczne zapotrzebowanie na energię końcową  na ogrzewanie i wentylację Qk,h (2)</t>
  </si>
  <si>
    <t>Roczne zapotrzebowanie na energię końcową  na ogrzewanie i wentylację Qk,h</t>
  </si>
  <si>
    <t>Wskaźnik zapotrzebowania na energię końcową EK</t>
  </si>
  <si>
    <t>Wskażnik zapotrzebowania na energię pierwotną EP</t>
  </si>
  <si>
    <t>Emisja CO2</t>
  </si>
  <si>
    <t>System dystrybucji c.w.u.</t>
  </si>
  <si>
    <t>Brak zasobnika</t>
  </si>
  <si>
    <t>przelicznik EK do EP</t>
  </si>
  <si>
    <t>energia elektryczna</t>
  </si>
  <si>
    <t>kWh</t>
  </si>
  <si>
    <t>Kolektory słoneczne</t>
  </si>
  <si>
    <t>powierzchnia kolektorów</t>
  </si>
  <si>
    <t>Udział kolektorów w pokryciu zapotrzebowania na energię do podgrzania c.w.u.</t>
  </si>
  <si>
    <t>miesięczne zapotrzebowanie na qcwu</t>
  </si>
  <si>
    <t>kWh/mc</t>
  </si>
  <si>
    <t>powierzchnia kolektora</t>
  </si>
  <si>
    <t>3. Dotychczasowy sposób podgrzania ciepłej wody użytkowej</t>
  </si>
  <si>
    <t>Wskażnik zapotrzebowania na energię użytkową EU</t>
  </si>
  <si>
    <t>Miesięczne zapotrzebowanie na energię końcową  do podgrzania c.w.u. Qk,w m bez kolektorów</t>
  </si>
  <si>
    <t>kg/kWh</t>
  </si>
  <si>
    <t>zainstalowana moc</t>
  </si>
  <si>
    <t>kW</t>
  </si>
  <si>
    <t>6. Obliczenia końcowe</t>
  </si>
  <si>
    <t>Roczny zysk energii Eoze</t>
  </si>
  <si>
    <t xml:space="preserve">7. Nowe źródła ogrzewania </t>
  </si>
  <si>
    <t>Nowe źródło ogrzewania</t>
  </si>
  <si>
    <t>Roczne zapotrzebowanie na energię końcową na ogrzewanie i wentylację Qk,h</t>
  </si>
  <si>
    <t>Tabela współczynników korekcyjnych, gdzie w poziomie jest podany kąt odchylenia od południa, a w pionie kąt nachylenia dachu.</t>
  </si>
  <si>
    <t>Sprawność urządzenia η (c.w.o.)</t>
  </si>
  <si>
    <t>Redukcja CO2</t>
  </si>
  <si>
    <t>Źródła ogrzewania</t>
  </si>
  <si>
    <t>5. Fotowoltaika do celów grzewczych</t>
  </si>
  <si>
    <t>uniknięta emisja CO2</t>
  </si>
  <si>
    <t>emisja PM10 [g/GJ]</t>
  </si>
  <si>
    <t>emisja PM10 [g/kWh]</t>
  </si>
  <si>
    <t>Emisja PM10</t>
  </si>
  <si>
    <t>emisja PM2,5 [g/GJ]</t>
  </si>
  <si>
    <t>emisja PM2,5 [g/kWh]</t>
  </si>
  <si>
    <t>Emisja PM2,5</t>
  </si>
  <si>
    <t>kg/rok</t>
  </si>
  <si>
    <t>g/rok</t>
  </si>
  <si>
    <t>Emisje PM10 [g/kWh]</t>
  </si>
  <si>
    <t>Emisje PM2,5 [g/kWh]</t>
  </si>
  <si>
    <t>Redukcja PM10</t>
  </si>
  <si>
    <t>Redukcja PM2,5</t>
  </si>
  <si>
    <t>Kominek z zamkniętą komorą spalania</t>
  </si>
  <si>
    <t>RODZAJ PALIWA</t>
  </si>
  <si>
    <t>WO</t>
  </si>
  <si>
    <t>WE CO2</t>
  </si>
  <si>
    <t>MJ/kg</t>
  </si>
  <si>
    <t>MJ/m3</t>
  </si>
  <si>
    <t>kg/GJ</t>
  </si>
  <si>
    <t>Olej opałowy lekki</t>
  </si>
  <si>
    <t>g/kWh</t>
  </si>
  <si>
    <t>Gaz ziemny</t>
  </si>
  <si>
    <t>Energia elektryczna</t>
  </si>
  <si>
    <t>2) KOBIZE, 2017, WSKAŹNIKI EMISYJNOŚCI CO2, SO2, NOx, CO i pyłu całkowitego DLA ENERGII ELEKTRYCZNEJ na podstawie informacji zawartych w Krajowej bazie o emisjach gazów cieplarnianych i innych substancji za 2016 rok</t>
  </si>
  <si>
    <t>1) KOBIZE, Wartości opałowe (WO) i wskaźniki emisji CO2 (WE) w roku 2014 do raportowania w ramach Systemu Handlu Uprawnieniami do Emisji za rok 2017</t>
  </si>
  <si>
    <t>dla odbiorców końcowych energii elektrycznej: wartość wskaźnika CO2 [kg/MWh] = 781</t>
  </si>
  <si>
    <t>Kocioł węglowy starego typu</t>
  </si>
  <si>
    <t>Węgiel brunatny</t>
  </si>
  <si>
    <t>Gaz ciekły LPG (propan)</t>
  </si>
  <si>
    <t>brak</t>
  </si>
  <si>
    <t>WE PM10</t>
  </si>
  <si>
    <t>WE PM2,5</t>
  </si>
  <si>
    <t>wypełniamy gdy c.w.u. nie jest w całości podgrzewana w ramach źródeł wymienionych w cz.2</t>
  </si>
  <si>
    <t>przelicznik EK do EP (1)</t>
  </si>
  <si>
    <t>przelicznik EK do EP (2)</t>
  </si>
  <si>
    <t>Kocioł gazowy starego typu (gaz ziemny)</t>
  </si>
  <si>
    <t>przelicznik jednostek</t>
  </si>
  <si>
    <t>3) emisja pyłu dla LPG obliczona na podstawie wartości TSP podanej w publikacji KOBIZE, 2015, Wskaźniki emisji zanieczyszczeń za spalania paliw w kotłach o nominalnej mocy cieplnej do 5 MW (0,5 g/GJ)</t>
  </si>
  <si>
    <r>
      <t>Węgiel kamienny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stare kotły</t>
    </r>
  </si>
  <si>
    <r>
      <t>Biomasa – drewno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stare kotły</t>
    </r>
  </si>
  <si>
    <r>
      <t>Biomasa – drewno</t>
    </r>
    <r>
      <rPr>
        <vertAlign val="superscript"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– nowe kotły</t>
    </r>
  </si>
  <si>
    <t xml:space="preserve">2017, Podniesienie jakości i skuteczności zarządzania jakością powietrza w strefach w celu zapewnienia czystego powietrza w województwie, „Następstwa i konsekwencje prawne podjętych uchwał sejmików województw w sprawie Programów Ochrony Powietrza i Planów Działań Krótkoterminowych” Poradnik dla organów administracji publicznej Część II Opracowanie eksperckie, ATMOTERM S. A., wykonane na zlecenie Generalnej Dyrekcji Ochrony Środowiska we współpracy z Ministerstwem Środowiska, w ramach prowadzonej Grupy ds. Ochrony Powietrza i Energetyki, funkcjonującej w Sieci ENEA „Partnerstwo: Środowisko dla Rozwoju” </t>
  </si>
  <si>
    <t>Udział źródła c.w.u. w pokryciu zapotrzebowania na energię do podgrzania c.w.u. poza kolektorami (pozostałą część zapotrzebowania może pokrywać główne źródło ciepła)</t>
  </si>
  <si>
    <t>Brak</t>
  </si>
  <si>
    <t>Urządzenie do podgrzania c.w.u (jeżeli nie jest nim źródło ciepła wymienione w cz. 2, lub urządzenie funkcjonuje równolegle)</t>
  </si>
  <si>
    <t>pola konieczne do uzupełnienia</t>
  </si>
  <si>
    <t>jeśli jest tylko jedno źródło należy wybrać "Brak"</t>
  </si>
  <si>
    <t>jeśli nie ma dodatkowego urządzenia podgrzewającego wodę, należy wybrać "Brak"</t>
  </si>
  <si>
    <t>jeśli nie ma kolektorów, należy wybrać "brak" i wpisać powierzchnię "0"</t>
  </si>
  <si>
    <t>Urządzenia pomocnicze (pompy obiegowe c.o i c.w.u)</t>
  </si>
  <si>
    <t>jeśli nie ma urządzeń pomocniczych, należy wybrać "nie"</t>
  </si>
  <si>
    <t>jeśli montowane w ramach modernizacji, należy wybrać "tak"</t>
  </si>
  <si>
    <t>ilość spalanego paliwa należy wybrać na dotychczasowym poziomie lub ograniczyć wg prognoz</t>
  </si>
  <si>
    <t>8. Nowy sposób podgrzania ciepłej wody użytkowej</t>
  </si>
  <si>
    <t>9. Urządzenia pomocnicze</t>
  </si>
  <si>
    <t>10. Fotowoltaika do celów grzewczych</t>
  </si>
  <si>
    <t>11. Obliczenia końcowe</t>
  </si>
  <si>
    <t>jeśli nastapiła modernizacja, należy to uwzględnić</t>
  </si>
  <si>
    <t>jeśli nie ma kolektorów, należy wybrać "Brak" i wpisać powierzchnię "0"</t>
  </si>
  <si>
    <t>gaz ciekły LPG (propan)</t>
  </si>
  <si>
    <t>jeśli jest tylko jedno źródło należy wybrać "Brak" i w ilości paliwa wpisać "0"</t>
  </si>
  <si>
    <t>Pompa ciepła typu powietrze/woda, sprężarkowa, napędzana elektrycznie</t>
  </si>
  <si>
    <t>Urządzenia pomocnicze stanowią pompy obiegowe ogrzewania i ciepłej wody</t>
  </si>
  <si>
    <t>jeśli w polu D7 wybrano "tak", preferowanym źródłem ogrzewania jest ciepłownia/elektrociepłownia, w dalszej kolejności należy rozpatrywać pompę ciepła, kotły na biomasę i gazowe (w zależności od obecności sieci gazowej)</t>
  </si>
  <si>
    <t>kWh/kg lub kWh/m3</t>
  </si>
  <si>
    <t>jeśli jest tylko jeden rodzaj paliwa, należy wpisać "0"</t>
  </si>
  <si>
    <t>urządzenia pomocnicze C.O.</t>
  </si>
  <si>
    <t>qel [W/m2]</t>
  </si>
  <si>
    <t>tuz [h/rok]</t>
  </si>
  <si>
    <t>pompy obiegowe w sysytemie ogrzewczym z grzejnikami podłogowymi</t>
  </si>
  <si>
    <t>pompa ładująca zasobnik buforowy</t>
  </si>
  <si>
    <t>napęd pomocniczy i regulacja kotła c.o.</t>
  </si>
  <si>
    <t>napęd pomocniczy w systemie ogrzewczym pompy ciepła woda/woda</t>
  </si>
  <si>
    <t>napęd pomocniczy w systemie ogrzewczym pompy ciepła glikol/woda</t>
  </si>
  <si>
    <t>urządzenia pomocnicze C.W.U.</t>
  </si>
  <si>
    <t>pompa ładująca zasobnik c.w.u.</t>
  </si>
  <si>
    <t>napęd pomocniczy i regulacja kotła c.w.u.</t>
  </si>
  <si>
    <t>napęd pomocniczy w systemie przygotowania c.w.u. pompy ciepła woda/woda</t>
  </si>
  <si>
    <t>napęd pomocniczy w systemie przygotowania c.w.u. pompy ciepła glikol/woda</t>
  </si>
  <si>
    <t>regulacja węzła cieplnego</t>
  </si>
  <si>
    <t>pompy i regulacja instalacji solarnej</t>
  </si>
  <si>
    <t>mnożnik</t>
  </si>
  <si>
    <t>4. Urządzenia pomocnicze C.O. i C.W.U.</t>
  </si>
  <si>
    <t>Zakłada się w budynku standardowym sysytem ogrzewczy z grzejnikami płytowymi lub członowymi</t>
  </si>
  <si>
    <t>qel - moc urządzeń, tuz - czas użytkowania, Af - powierzchna ogrzewana budynku</t>
  </si>
  <si>
    <t>gdzie:</t>
  </si>
  <si>
    <t>Wskaźniki przyjęto dla budynków o powierzchni ogrzewanej poniżej 250 m2</t>
  </si>
  <si>
    <t>Po zmianie źródła ciepła na ciepłownię lub elektrociepłownię pompy regulacji kotła zastępuje się regulacją węzła cieplnego</t>
  </si>
  <si>
    <t>Po zmianie źródła ciepła na pompę ciepła urządzenia przelicza się dla pompy (w uproszczeniu przyjęto bardziej energochłonna pompę woda/woda) i ogrzewania podłowowego</t>
  </si>
  <si>
    <t>EWody = CW·ρ·VWody·(55-10)*tuz</t>
  </si>
  <si>
    <t xml:space="preserve"> gdzie CW – ciepło właściwe powietrza 4190 J/(kg·K), ρ – gęstość wody 1000 kg/m3, tuz-czas użytkowania=365*0,9=328,5 dnia (przy założeniu obecności na poziomie 90%)</t>
  </si>
  <si>
    <t>Przy domyślnych parametrach temperatury wody (55/10) na osobę przypada EWody = 1,83 kWh dziennie / 55 kWh miesięcznie / 601 kWh rocznie</t>
  </si>
  <si>
    <t>Przyjęto ilość energii pozyskiwanej miesięcznie przez 1m2 kolektora ustawionego w kierunku południowym pod kątem 45° (bez uwzględnienia strat przy dystrybucji i magazynowaniu ciepła)</t>
  </si>
  <si>
    <t>Imię i nazwisko beneficjenta</t>
  </si>
  <si>
    <t>Adres budynku / lokalu</t>
  </si>
  <si>
    <t>Dobowe zapotrzebowanie na c.w.u. / osobę  wynosi 35 l</t>
  </si>
  <si>
    <r>
      <t xml:space="preserve">Przyjęte obliczeniowo temepratury wynoszą 55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 dla ciepłej wody i 10 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dla zimnej wody</t>
    </r>
  </si>
  <si>
    <t>Przyjęto średnie nasłonecznienie na terenie Dolnego Śląska 1000kWh/m2</t>
  </si>
  <si>
    <t>Przyjęty współczynnik korekcyjny zakłada umieszczenie paneli pod kątem 45%, skierowanych na południe</t>
  </si>
  <si>
    <t>Zakładane straty energii są na poziomie 15% (Współczynnik wydajności WW=0,85)</t>
  </si>
  <si>
    <t>Nnatężenie promieniowania słonecznego, przy których testowane są moduły fotowoltaiczne  Nat. prom. (STC)=1000 W/m2 (1 kW/m2)</t>
  </si>
  <si>
    <t>Współczynnik  Ek do Ep dla źródeł lokalnych</t>
  </si>
  <si>
    <t>brzoza</t>
  </si>
  <si>
    <t>buk</t>
  </si>
  <si>
    <t>dąb</t>
  </si>
  <si>
    <t>grab</t>
  </si>
  <si>
    <t>jodła</t>
  </si>
  <si>
    <t>modrzew</t>
  </si>
  <si>
    <t>olcha</t>
  </si>
  <si>
    <t>osika</t>
  </si>
  <si>
    <t>sosna</t>
  </si>
  <si>
    <t>świerk</t>
  </si>
  <si>
    <t>gatunek drewna</t>
  </si>
  <si>
    <t>waga 1 m3 przy wilgotnośi 15% [kg]</t>
  </si>
  <si>
    <t>dla starych źródeł</t>
  </si>
  <si>
    <t>dla nowych źródeł</t>
  </si>
  <si>
    <t>Kocioł węglowy stary</t>
  </si>
  <si>
    <t>n</t>
  </si>
  <si>
    <t>s</t>
  </si>
  <si>
    <t>Sprawności wytwarzania ciepła (dla systemu c.o. i przygotowania ciepłej wody) w źródłach oraz emisje dla nowych źródeł</t>
  </si>
  <si>
    <t>Zasobnik wyprodukowany po 2005 r.</t>
  </si>
  <si>
    <t>Zasobnik wyprodukowany w latach 1995-2000</t>
  </si>
  <si>
    <t>Zasobnik wyprodukowany w latach 2001-2005</t>
  </si>
  <si>
    <t>Stary zasobnik wyprodukowany przed 1995 r.</t>
  </si>
  <si>
    <t>E el pom= E el pom H + E el pom W</t>
  </si>
  <si>
    <t>Eel pom = Σ qel·tuz·Af/1000</t>
  </si>
  <si>
    <t>Kocioł węglowy nowy, poniżej 5 klasy, nie spełniający wymogów Ekoprojektu 2020</t>
  </si>
  <si>
    <t>Kocioł na biomasę wrzutowy z obsługą ręczną</t>
  </si>
  <si>
    <t>Kocioł na biomasę automatyczny</t>
  </si>
  <si>
    <t>Kocioł na pellety automatyczny</t>
  </si>
  <si>
    <t>drewno/biomasa</t>
  </si>
  <si>
    <t>Drewno/biomasa</t>
  </si>
  <si>
    <t>domyślnie sa to wszystkie kotły nie spełniające wymogów Ekoprojektu 2020</t>
  </si>
  <si>
    <t>Pompa ciepła powietrze/woda</t>
  </si>
  <si>
    <t>Pompa ciepła woda/woda, glikol/woda lub bezpośrednie odparowanie w gruncie/woda</t>
  </si>
  <si>
    <t>Pompa ciepła powietrze/powietrze</t>
  </si>
  <si>
    <t>4) Zgodnie z obowiązującym Rozporządzeniem Ministra Infrastruktury i Rozwoju w sprawie metodologii wyznaczania charakterystyki energetycznej budynku lub części budynku oraz świadectw charakterystyki energetycznej z dnia 27 lutego 2015 r. (Dz.U. z 2015 r. poz. 376): "Wartość wskaźnika emisji CO2, w zależności od rodzaju spalanego paliwa WE dla odnawialnych źródeł energii (w przypadku miejscowego wytwarzania energii w budynku): energii słonecznej, energii wiatrowej, energii geotermalnej, biomasy i biogazu, jest równa 0."</t>
  </si>
  <si>
    <t>Ciepłownia (węgiel brunatny)</t>
  </si>
  <si>
    <t>Elektrociepłownia (węgiel kamienny)</t>
  </si>
  <si>
    <t>Sprawność przesyłu ciepła ze źródła
do przestrzeni ogrzewanej ηH,d (c.o.)</t>
  </si>
  <si>
    <t>Sprawność regulacji i wykorzystania
ciepła w przestrzeni ogrzewanej ηH,e′ (c.o.)</t>
  </si>
  <si>
    <t>Sprawność wytwarzania ciepła z nośnika energii
lub energii dostarczanych do źródła ciepła ηH,g (c.o.)</t>
  </si>
  <si>
    <t>wg rozporządzenia - dane uproszczone</t>
  </si>
  <si>
    <t>przyjęto wartości dla pomp napędzanych elektrycznie</t>
  </si>
  <si>
    <t>dla elektrociepłowni i ciepłowni przyjęto wartość dla węzłów cieplnych kompaktowych z obudową</t>
  </si>
  <si>
    <t>UWAGA! wypełniamy niezależnie od źródeł wymienionych w cz.7!</t>
  </si>
  <si>
    <t>UWAGA! wymianie podlegają tylko źródła na paliwo stałe poniżej 5 klasy, nie spełniające wymogów Ekoprojektu 2020</t>
  </si>
  <si>
    <t>Roczne zapotrzebowanie na energię użytkową  na ogrzewanie i wentylację Qu,h (2)</t>
  </si>
  <si>
    <t>Zapotrzebowanie na energię użytkową do ogrzewania Qu,h (1)</t>
  </si>
  <si>
    <t>Całkowita sprawność systemu c.o. ηH,tot</t>
  </si>
  <si>
    <t>Sprawność ηW (c.w.u.)</t>
  </si>
  <si>
    <t>Sprawność akumulacji ciepła w elementach pojemnościowych ηH,s (c.o.)</t>
  </si>
  <si>
    <t>Kominek z zamkniętą komorą spalania spełniający wymogi Ekoprojektu 2020</t>
  </si>
  <si>
    <t>Zaawansowane systemy automatyki i sterowania ogrzewaniem</t>
  </si>
  <si>
    <t>E rzeczywista = (1000 kWh/m2 * 1,12 * 1 kW *0,8) / 1000 W/m2 = 896 kWh</t>
  </si>
  <si>
    <t>Erzeczywista na moduł o nominalnej mocy 1 kWh dostarcza w przybliżeniu 896 kWh rocznie</t>
  </si>
  <si>
    <r>
      <t xml:space="preserve">energia el. do celów grzewczych = moc instalacji </t>
    </r>
    <r>
      <rPr>
        <b/>
        <sz val="11"/>
        <color rgb="FF000000"/>
        <rFont val="Calibri"/>
        <family val="2"/>
        <charset val="238"/>
      </rPr>
      <t>·</t>
    </r>
    <r>
      <rPr>
        <b/>
        <sz val="11"/>
        <color theme="1"/>
        <rFont val="Calibri"/>
        <family val="2"/>
        <charset val="238"/>
      </rPr>
      <t xml:space="preserve"> sprawność (0,9) </t>
    </r>
    <r>
      <rPr>
        <b/>
        <sz val="11"/>
        <color rgb="FF000000"/>
        <rFont val="Calibri"/>
        <family val="2"/>
        <charset val="238"/>
      </rPr>
      <t xml:space="preserve">· czas użytkowania w godzinach /rok /1000 (Eh = Qel · η · </t>
    </r>
    <r>
      <rPr>
        <b/>
        <sz val="11"/>
        <color theme="1"/>
        <rFont val="Calibri"/>
        <family val="2"/>
        <charset val="238"/>
      </rPr>
      <t>tuz/1000)</t>
    </r>
  </si>
  <si>
    <t>Qk,w urz. c.w.u.</t>
  </si>
  <si>
    <r>
      <t>Q</t>
    </r>
    <r>
      <rPr>
        <vertAlign val="subscript"/>
        <sz val="11"/>
        <color theme="1"/>
        <rFont val="Calibri"/>
        <family val="2"/>
        <charset val="238"/>
      </rPr>
      <t xml:space="preserve">sol </t>
    </r>
    <r>
      <rPr>
        <sz val="11"/>
        <color theme="1"/>
        <rFont val="Calibri"/>
        <family val="2"/>
        <charset val="238"/>
      </rPr>
      <t>kolektor płaski</t>
    </r>
  </si>
  <si>
    <r>
      <t>Q</t>
    </r>
    <r>
      <rPr>
        <vertAlign val="subscript"/>
        <sz val="11"/>
        <color theme="1"/>
        <rFont val="Calibri"/>
        <family val="2"/>
        <charset val="238"/>
      </rPr>
      <t xml:space="preserve">sol </t>
    </r>
    <r>
      <rPr>
        <sz val="11"/>
        <color theme="1"/>
        <rFont val="Calibri"/>
        <family val="2"/>
        <charset val="238"/>
      </rPr>
      <t>kolektor próżniowy</t>
    </r>
  </si>
  <si>
    <t xml:space="preserve">Roczne zapotrzebowanie na energię użytkową  do podgrzania c.w.u. (bez strat) Qu,w </t>
  </si>
  <si>
    <t>Roczne zapotrzebowanie na energię końcową  do podgrzania c.w.u. Qk,w  bez kolektorów</t>
  </si>
  <si>
    <t>Roczne zapotrzebowanie na energię końcową  do podgrzania c.w.u. Qk,w z uwzględnieniem kolektorów</t>
  </si>
  <si>
    <t>Sprawność urządzenia ηH,tot  (1)</t>
  </si>
  <si>
    <t>Sprawność urządzenia ηH,tot  (2)</t>
  </si>
  <si>
    <t>pompy obiegowe w systemie ogrzewczym z grzejnikami płytowymi lub członowymi</t>
  </si>
  <si>
    <t>pompy cyrkulacyjne w systemie c.w.u.</t>
  </si>
  <si>
    <r>
      <t xml:space="preserve">E el pom H - energia pomocnicza </t>
    </r>
    <r>
      <rPr>
        <sz val="11"/>
        <color theme="1"/>
        <rFont val="Calibri"/>
        <family val="2"/>
        <charset val="238"/>
      </rPr>
      <t>na cele systemu c.o.</t>
    </r>
  </si>
  <si>
    <r>
      <t xml:space="preserve">E el pom W - energia pomocnicza </t>
    </r>
    <r>
      <rPr>
        <sz val="11"/>
        <color theme="1"/>
        <rFont val="Calibri"/>
        <family val="2"/>
        <charset val="238"/>
      </rPr>
      <t>na cele systemu c.w.u.</t>
    </r>
  </si>
  <si>
    <r>
      <t>tony równoważnika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/rok</t>
    </r>
  </si>
  <si>
    <t>Mg/rok</t>
  </si>
  <si>
    <t>1mp drewna=0,65m3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</si>
</sst>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%"/>
    <numFmt numFmtId="165" formatCode="0.0"/>
    <numFmt numFmtId="166" formatCode="#,##0_ ;[Red]\-#,##0\ "/>
    <numFmt numFmtId="167" formatCode="#,##0.00_ ;[Red]\-#,##0.00\ "/>
    <numFmt numFmtId="168" formatCode="0.000"/>
    <numFmt numFmtId="169" formatCode="0.0000"/>
    <numFmt numFmtId="170" formatCode="#,##0.000000_ ;[Red]\-#,##0.000000\ "/>
  </numFmts>
  <fonts count="5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1D1F22"/>
      <name val="Arial"/>
      <family val="2"/>
      <charset val="238"/>
    </font>
    <font>
      <sz val="11"/>
      <color rgb="FF666666"/>
      <name val="Calibri"/>
      <family val="2"/>
      <charset val="238"/>
      <scheme val="minor"/>
    </font>
    <font>
      <sz val="11"/>
      <color rgb="FF1D1F2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indexed="54"/>
      <name val="Calibri"/>
      <family val="2"/>
      <charset val="238"/>
    </font>
    <font>
      <b/>
      <sz val="13"/>
      <color indexed="54"/>
      <name val="Symbol"/>
      <family val="1"/>
      <charset val="2"/>
    </font>
    <font>
      <b/>
      <vertAlign val="subscript"/>
      <sz val="13"/>
      <color indexed="5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Symbol"/>
      <family val="1"/>
      <charset val="2"/>
    </font>
    <font>
      <b/>
      <vertAlign val="subscript"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b/>
      <sz val="11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b/>
      <sz val="11"/>
      <color rgb="FF00B05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vertAlign val="superscript"/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231F20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zcionka tekstu podstawowego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2F2F2"/>
      </top>
      <bottom/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9" fillId="0" borderId="12" applyNumberFormat="0" applyFill="0" applyAlignment="0" applyProtection="0"/>
    <xf numFmtId="0" fontId="10" fillId="7" borderId="13" applyNumberFormat="0" applyAlignment="0" applyProtection="0"/>
    <xf numFmtId="0" fontId="11" fillId="2" borderId="14" applyNumberFormat="0" applyAlignment="0" applyProtection="0"/>
    <xf numFmtId="0" fontId="35" fillId="2" borderId="13" applyNumberFormat="0" applyAlignment="0" applyProtection="0"/>
  </cellStyleXfs>
  <cellXfs count="2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wrapText="1"/>
    </xf>
    <xf numFmtId="8" fontId="7" fillId="0" borderId="2" xfId="0" applyNumberFormat="1" applyFont="1" applyBorder="1" applyAlignment="1">
      <alignment wrapText="1"/>
    </xf>
    <xf numFmtId="10" fontId="7" fillId="0" borderId="2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8" fontId="7" fillId="0" borderId="3" xfId="0" applyNumberFormat="1" applyFont="1" applyBorder="1" applyAlignment="1">
      <alignment wrapText="1"/>
    </xf>
    <xf numFmtId="10" fontId="7" fillId="0" borderId="3" xfId="0" applyNumberFormat="1" applyFont="1" applyBorder="1" applyAlignment="1">
      <alignment wrapText="1"/>
    </xf>
    <xf numFmtId="0" fontId="5" fillId="0" borderId="0" xfId="0" applyFont="1"/>
    <xf numFmtId="0" fontId="0" fillId="0" borderId="0" xfId="0" applyBorder="1"/>
    <xf numFmtId="0" fontId="13" fillId="0" borderId="12" xfId="2" applyFont="1"/>
    <xf numFmtId="0" fontId="16" fillId="0" borderId="0" xfId="0" applyFont="1" applyAlignment="1">
      <alignment horizontal="center"/>
    </xf>
    <xf numFmtId="0" fontId="12" fillId="0" borderId="12" xfId="2" applyFont="1"/>
    <xf numFmtId="0" fontId="16" fillId="0" borderId="0" xfId="0" applyFont="1"/>
    <xf numFmtId="0" fontId="16" fillId="0" borderId="15" xfId="0" applyFont="1" applyBorder="1"/>
    <xf numFmtId="0" fontId="17" fillId="0" borderId="16" xfId="0" applyFont="1" applyBorder="1" applyAlignment="1">
      <alignment horizontal="center"/>
    </xf>
    <xf numFmtId="0" fontId="21" fillId="3" borderId="17" xfId="0" applyFont="1" applyFill="1" applyBorder="1"/>
    <xf numFmtId="0" fontId="22" fillId="7" borderId="17" xfId="3" applyFont="1" applyBorder="1" applyAlignment="1">
      <alignment horizontal="center"/>
    </xf>
    <xf numFmtId="0" fontId="21" fillId="4" borderId="16" xfId="0" applyFont="1" applyFill="1" applyBorder="1"/>
    <xf numFmtId="0" fontId="22" fillId="7" borderId="16" xfId="3" applyFont="1" applyBorder="1" applyAlignment="1">
      <alignment horizontal="center"/>
    </xf>
    <xf numFmtId="0" fontId="21" fillId="0" borderId="0" xfId="0" applyFont="1" applyFill="1" applyBorder="1"/>
    <xf numFmtId="0" fontId="22" fillId="0" borderId="0" xfId="3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2" applyFont="1" applyBorder="1"/>
    <xf numFmtId="0" fontId="16" fillId="0" borderId="16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1" fillId="3" borderId="18" xfId="0" applyFont="1" applyFill="1" applyBorder="1"/>
    <xf numFmtId="2" fontId="21" fillId="3" borderId="18" xfId="0" applyNumberFormat="1" applyFont="1" applyFill="1" applyBorder="1" applyAlignment="1">
      <alignment horizontal="center"/>
    </xf>
    <xf numFmtId="0" fontId="21" fillId="4" borderId="15" xfId="0" applyFont="1" applyFill="1" applyBorder="1"/>
    <xf numFmtId="2" fontId="21" fillId="4" borderId="15" xfId="0" applyNumberFormat="1" applyFont="1" applyFill="1" applyBorder="1" applyAlignment="1">
      <alignment horizontal="center"/>
    </xf>
    <xf numFmtId="0" fontId="12" fillId="0" borderId="12" xfId="2" applyFont="1" applyAlignment="1">
      <alignment horizontal="center"/>
    </xf>
    <xf numFmtId="164" fontId="21" fillId="3" borderId="10" xfId="1" applyNumberFormat="1" applyFont="1" applyFill="1" applyBorder="1" applyAlignment="1">
      <alignment horizontal="center"/>
    </xf>
    <xf numFmtId="164" fontId="21" fillId="4" borderId="16" xfId="1" applyNumberFormat="1" applyFont="1" applyFill="1" applyBorder="1" applyAlignment="1">
      <alignment horizontal="center"/>
    </xf>
    <xf numFmtId="0" fontId="22" fillId="7" borderId="20" xfId="3" applyFont="1" applyBorder="1" applyAlignment="1">
      <alignment horizontal="center"/>
    </xf>
    <xf numFmtId="2" fontId="21" fillId="4" borderId="16" xfId="0" applyNumberFormat="1" applyFont="1" applyFill="1" applyBorder="1" applyAlignment="1">
      <alignment horizontal="center"/>
    </xf>
    <xf numFmtId="2" fontId="21" fillId="3" borderId="11" xfId="0" applyNumberFormat="1" applyFont="1" applyFill="1" applyBorder="1" applyAlignment="1">
      <alignment horizontal="center"/>
    </xf>
    <xf numFmtId="165" fontId="25" fillId="4" borderId="16" xfId="0" applyNumberFormat="1" applyFont="1" applyFill="1" applyBorder="1" applyAlignment="1">
      <alignment horizontal="center"/>
    </xf>
    <xf numFmtId="165" fontId="25" fillId="3" borderId="11" xfId="0" applyNumberFormat="1" applyFont="1" applyFill="1" applyBorder="1" applyAlignment="1">
      <alignment horizontal="center"/>
    </xf>
    <xf numFmtId="0" fontId="0" fillId="0" borderId="0" xfId="0" applyFill="1"/>
    <xf numFmtId="0" fontId="26" fillId="5" borderId="0" xfId="0" applyFont="1" applyFill="1"/>
    <xf numFmtId="0" fontId="0" fillId="5" borderId="0" xfId="0" applyFill="1"/>
    <xf numFmtId="0" fontId="16" fillId="0" borderId="1" xfId="0" applyFont="1" applyBorder="1"/>
    <xf numFmtId="0" fontId="22" fillId="7" borderId="1" xfId="3" applyFont="1" applyBorder="1" applyAlignment="1">
      <alignment horizontal="center"/>
    </xf>
    <xf numFmtId="0" fontId="27" fillId="0" borderId="0" xfId="0" applyFont="1"/>
    <xf numFmtId="9" fontId="27" fillId="0" borderId="0" xfId="0" applyNumberFormat="1" applyFont="1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0" fontId="2" fillId="0" borderId="0" xfId="0" applyFont="1" applyFill="1"/>
    <xf numFmtId="0" fontId="22" fillId="0" borderId="0" xfId="4" applyFont="1" applyFill="1" applyBorder="1" applyAlignment="1">
      <alignment horizontal="center"/>
    </xf>
    <xf numFmtId="2" fontId="22" fillId="0" borderId="0" xfId="4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2" fillId="6" borderId="0" xfId="0" applyFont="1" applyFill="1" applyBorder="1" applyAlignment="1" applyProtection="1">
      <alignment horizontal="left" vertical="center"/>
    </xf>
    <xf numFmtId="0" fontId="22" fillId="6" borderId="0" xfId="0" applyFont="1" applyFill="1" applyBorder="1" applyAlignment="1" applyProtection="1">
      <alignment horizontal="left"/>
    </xf>
    <xf numFmtId="0" fontId="34" fillId="6" borderId="0" xfId="0" applyFont="1" applyFill="1" applyBorder="1" applyAlignment="1" applyProtection="1">
      <alignment horizontal="left"/>
    </xf>
    <xf numFmtId="0" fontId="36" fillId="0" borderId="0" xfId="0" applyFont="1"/>
    <xf numFmtId="0" fontId="22" fillId="6" borderId="1" xfId="0" applyFont="1" applyFill="1" applyBorder="1" applyAlignment="1" applyProtection="1">
      <alignment horizontal="left" vertical="center"/>
    </xf>
    <xf numFmtId="0" fontId="30" fillId="5" borderId="0" xfId="0" applyFont="1" applyFill="1" applyBorder="1"/>
    <xf numFmtId="0" fontId="29" fillId="7" borderId="1" xfId="3" applyFont="1" applyBorder="1" applyAlignment="1">
      <alignment horizontal="center"/>
    </xf>
    <xf numFmtId="166" fontId="35" fillId="2" borderId="1" xfId="5" applyNumberFormat="1" applyBorder="1" applyAlignment="1" applyProtection="1">
      <alignment horizontal="center" vertical="center"/>
      <protection locked="0"/>
    </xf>
    <xf numFmtId="0" fontId="31" fillId="0" borderId="8" xfId="0" applyFont="1" applyBorder="1"/>
    <xf numFmtId="0" fontId="22" fillId="6" borderId="18" xfId="0" applyFont="1" applyFill="1" applyBorder="1" applyAlignment="1" applyProtection="1">
      <alignment vertical="center"/>
    </xf>
    <xf numFmtId="0" fontId="22" fillId="6" borderId="18" xfId="0" applyFont="1" applyFill="1" applyBorder="1" applyAlignment="1" applyProtection="1">
      <alignment vertical="center" wrapText="1"/>
    </xf>
    <xf numFmtId="0" fontId="31" fillId="0" borderId="25" xfId="0" applyFont="1" applyBorder="1"/>
    <xf numFmtId="0" fontId="22" fillId="9" borderId="18" xfId="0" applyFont="1" applyFill="1" applyBorder="1" applyAlignment="1" applyProtection="1">
      <alignment wrapText="1"/>
    </xf>
    <xf numFmtId="0" fontId="22" fillId="6" borderId="18" xfId="0" applyFont="1" applyFill="1" applyBorder="1" applyAlignment="1" applyProtection="1">
      <alignment wrapText="1"/>
    </xf>
    <xf numFmtId="0" fontId="22" fillId="8" borderId="18" xfId="0" applyFont="1" applyFill="1" applyBorder="1" applyAlignment="1" applyProtection="1">
      <alignment wrapText="1"/>
    </xf>
    <xf numFmtId="0" fontId="22" fillId="8" borderId="18" xfId="0" applyFont="1" applyFill="1" applyBorder="1"/>
    <xf numFmtId="0" fontId="30" fillId="5" borderId="0" xfId="0" applyFont="1" applyFill="1"/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0" fontId="22" fillId="5" borderId="0" xfId="0" applyFont="1" applyFill="1" applyBorder="1" applyAlignment="1" applyProtection="1">
      <alignment horizontal="left"/>
    </xf>
    <xf numFmtId="0" fontId="35" fillId="5" borderId="0" xfId="5" applyFill="1" applyBorder="1" applyAlignment="1" applyProtection="1">
      <alignment horizontal="center"/>
    </xf>
    <xf numFmtId="0" fontId="22" fillId="10" borderId="9" xfId="0" applyFont="1" applyFill="1" applyBorder="1" applyAlignment="1" applyProtection="1">
      <alignment wrapText="1"/>
    </xf>
    <xf numFmtId="0" fontId="22" fillId="3" borderId="18" xfId="0" applyFont="1" applyFill="1" applyBorder="1" applyAlignment="1" applyProtection="1">
      <alignment vertical="center" wrapText="1"/>
    </xf>
    <xf numFmtId="0" fontId="22" fillId="3" borderId="18" xfId="0" applyFont="1" applyFill="1" applyBorder="1" applyAlignment="1" applyProtection="1">
      <alignment wrapText="1"/>
    </xf>
    <xf numFmtId="166" fontId="29" fillId="5" borderId="0" xfId="3" applyNumberFormat="1" applyFont="1" applyFill="1" applyBorder="1" applyAlignment="1" applyProtection="1">
      <alignment horizontal="left" vertical="center"/>
      <protection locked="0"/>
    </xf>
    <xf numFmtId="0" fontId="22" fillId="6" borderId="7" xfId="0" applyFont="1" applyFill="1" applyBorder="1" applyAlignment="1" applyProtection="1">
      <alignment horizontal="center" vertical="top"/>
    </xf>
    <xf numFmtId="0" fontId="22" fillId="6" borderId="4" xfId="0" applyFont="1" applyFill="1" applyBorder="1" applyAlignment="1" applyProtection="1">
      <alignment horizontal="center" vertical="top"/>
    </xf>
    <xf numFmtId="0" fontId="22" fillId="8" borderId="18" xfId="0" applyFont="1" applyFill="1" applyBorder="1" applyAlignment="1" applyProtection="1">
      <alignment vertical="center" wrapText="1"/>
    </xf>
    <xf numFmtId="0" fontId="22" fillId="5" borderId="21" xfId="0" applyFont="1" applyFill="1" applyBorder="1" applyAlignment="1" applyProtection="1">
      <alignment horizontal="center" vertical="top"/>
    </xf>
    <xf numFmtId="0" fontId="30" fillId="5" borderId="4" xfId="0" applyFont="1" applyFill="1" applyBorder="1" applyAlignment="1">
      <alignment horizontal="center" vertical="top"/>
    </xf>
    <xf numFmtId="0" fontId="22" fillId="6" borderId="27" xfId="0" applyFont="1" applyFill="1" applyBorder="1" applyAlignment="1" applyProtection="1">
      <alignment horizontal="center" vertical="top"/>
    </xf>
    <xf numFmtId="0" fontId="30" fillId="5" borderId="22" xfId="0" applyFont="1" applyFill="1" applyBorder="1"/>
    <xf numFmtId="166" fontId="29" fillId="7" borderId="28" xfId="3" applyNumberFormat="1" applyFont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 applyProtection="1">
      <alignment horizontal="center" vertical="top"/>
    </xf>
    <xf numFmtId="166" fontId="29" fillId="7" borderId="30" xfId="3" applyNumberFormat="1" applyFont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 applyProtection="1">
      <alignment horizontal="center" vertical="top"/>
    </xf>
    <xf numFmtId="0" fontId="31" fillId="5" borderId="32" xfId="0" applyFont="1" applyFill="1" applyBorder="1"/>
    <xf numFmtId="0" fontId="30" fillId="5" borderId="28" xfId="0" applyFont="1" applyFill="1" applyBorder="1"/>
    <xf numFmtId="10" fontId="29" fillId="7" borderId="28" xfId="3" applyNumberFormat="1" applyFont="1" applyBorder="1" applyAlignment="1" applyProtection="1">
      <alignment horizontal="center" vertical="center"/>
      <protection locked="0"/>
    </xf>
    <xf numFmtId="166" fontId="29" fillId="7" borderId="28" xfId="3" applyNumberFormat="1" applyFont="1" applyBorder="1" applyAlignment="1" applyProtection="1">
      <alignment horizontal="center" vertical="center" wrapText="1"/>
      <protection locked="0"/>
    </xf>
    <xf numFmtId="0" fontId="30" fillId="5" borderId="26" xfId="0" applyFont="1" applyFill="1" applyBorder="1"/>
    <xf numFmtId="0" fontId="22" fillId="10" borderId="18" xfId="0" applyFont="1" applyFill="1" applyBorder="1" applyAlignment="1" applyProtection="1">
      <alignment wrapText="1"/>
    </xf>
    <xf numFmtId="0" fontId="37" fillId="0" borderId="1" xfId="0" applyFont="1" applyBorder="1"/>
    <xf numFmtId="0" fontId="38" fillId="0" borderId="1" xfId="0" applyFont="1" applyBorder="1" applyAlignment="1"/>
    <xf numFmtId="0" fontId="38" fillId="0" borderId="1" xfId="0" applyFont="1" applyBorder="1" applyAlignment="1">
      <alignment horizontal="center" wrapText="1"/>
    </xf>
    <xf numFmtId="0" fontId="40" fillId="0" borderId="0" xfId="0" applyFont="1" applyAlignment="1">
      <alignment horizontal="justify"/>
    </xf>
    <xf numFmtId="169" fontId="38" fillId="0" borderId="1" xfId="0" applyNumberFormat="1" applyFont="1" applyBorder="1" applyAlignment="1">
      <alignment horizontal="center" wrapText="1"/>
    </xf>
    <xf numFmtId="0" fontId="31" fillId="0" borderId="32" xfId="0" applyFont="1" applyBorder="1"/>
    <xf numFmtId="0" fontId="22" fillId="10" borderId="15" xfId="0" applyFont="1" applyFill="1" applyBorder="1" applyAlignment="1" applyProtection="1">
      <alignment wrapText="1"/>
    </xf>
    <xf numFmtId="0" fontId="28" fillId="5" borderId="0" xfId="0" applyFont="1" applyFill="1"/>
    <xf numFmtId="0" fontId="0" fillId="5" borderId="0" xfId="0" applyFill="1" applyAlignment="1">
      <alignment horizontal="center" vertical="top"/>
    </xf>
    <xf numFmtId="0" fontId="30" fillId="5" borderId="0" xfId="0" applyFont="1" applyFill="1" applyAlignment="1">
      <alignment horizontal="right"/>
    </xf>
    <xf numFmtId="166" fontId="29" fillId="5" borderId="1" xfId="3" applyNumberFormat="1" applyFont="1" applyFill="1" applyBorder="1" applyAlignment="1" applyProtection="1">
      <alignment horizontal="left" vertical="center"/>
      <protection locked="0"/>
    </xf>
    <xf numFmtId="0" fontId="36" fillId="5" borderId="0" xfId="0" applyFont="1" applyFill="1"/>
    <xf numFmtId="0" fontId="22" fillId="11" borderId="18" xfId="0" applyFont="1" applyFill="1" applyBorder="1" applyAlignment="1" applyProtection="1">
      <alignment vertical="center"/>
    </xf>
    <xf numFmtId="0" fontId="22" fillId="11" borderId="9" xfId="0" applyFont="1" applyFill="1" applyBorder="1" applyAlignment="1" applyProtection="1">
      <alignment vertical="center"/>
    </xf>
    <xf numFmtId="0" fontId="22" fillId="11" borderId="1" xfId="0" applyFont="1" applyFill="1" applyBorder="1" applyAlignment="1" applyProtection="1">
      <alignment horizontal="left" vertical="center"/>
    </xf>
    <xf numFmtId="0" fontId="22" fillId="11" borderId="18" xfId="0" applyFont="1" applyFill="1" applyBorder="1" applyAlignment="1" applyProtection="1">
      <alignment wrapText="1"/>
    </xf>
    <xf numFmtId="0" fontId="36" fillId="11" borderId="0" xfId="0" applyFont="1" applyFill="1" applyAlignment="1">
      <alignment wrapText="1"/>
    </xf>
    <xf numFmtId="0" fontId="36" fillId="11" borderId="1" xfId="0" applyFont="1" applyFill="1" applyBorder="1"/>
    <xf numFmtId="0" fontId="36" fillId="11" borderId="1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6" fillId="0" borderId="1" xfId="0" applyFont="1" applyBorder="1" applyAlignment="1">
      <alignment wrapText="1"/>
    </xf>
    <xf numFmtId="0" fontId="36" fillId="0" borderId="0" xfId="0" applyFont="1" applyBorder="1"/>
    <xf numFmtId="9" fontId="36" fillId="0" borderId="0" xfId="0" applyNumberFormat="1" applyFont="1" applyBorder="1"/>
    <xf numFmtId="0" fontId="38" fillId="0" borderId="0" xfId="0" applyFont="1" applyBorder="1" applyAlignment="1"/>
    <xf numFmtId="0" fontId="38" fillId="0" borderId="0" xfId="0" applyFont="1" applyFill="1" applyBorder="1" applyAlignment="1">
      <alignment horizontal="center" wrapText="1"/>
    </xf>
    <xf numFmtId="169" fontId="38" fillId="0" borderId="0" xfId="0" applyNumberFormat="1" applyFont="1" applyFill="1" applyBorder="1" applyAlignment="1">
      <alignment horizontal="center" wrapText="1"/>
    </xf>
    <xf numFmtId="0" fontId="22" fillId="11" borderId="1" xfId="0" applyFont="1" applyFill="1" applyBorder="1" applyAlignment="1" applyProtection="1">
      <alignment horizontal="left" vertical="center" wrapText="1"/>
    </xf>
    <xf numFmtId="0" fontId="36" fillId="11" borderId="0" xfId="0" applyFont="1" applyFill="1"/>
    <xf numFmtId="0" fontId="22" fillId="6" borderId="1" xfId="0" applyFont="1" applyFill="1" applyBorder="1" applyAlignment="1" applyProtection="1">
      <alignment horizontal="left" vertical="center" wrapText="1"/>
    </xf>
    <xf numFmtId="0" fontId="22" fillId="11" borderId="1" xfId="0" applyFont="1" applyFill="1" applyBorder="1" applyAlignment="1" applyProtection="1">
      <alignment vertical="center"/>
    </xf>
    <xf numFmtId="0" fontId="42" fillId="6" borderId="0" xfId="0" applyFont="1" applyFill="1" applyBorder="1" applyAlignment="1" applyProtection="1">
      <alignment horizontal="left"/>
    </xf>
    <xf numFmtId="0" fontId="22" fillId="11" borderId="23" xfId="0" applyFont="1" applyFill="1" applyBorder="1" applyAlignment="1" applyProtection="1">
      <alignment wrapText="1"/>
    </xf>
    <xf numFmtId="0" fontId="22" fillId="11" borderId="18" xfId="0" applyFont="1" applyFill="1" applyBorder="1" applyAlignment="1" applyProtection="1">
      <alignment vertical="center" wrapText="1"/>
    </xf>
    <xf numFmtId="0" fontId="22" fillId="11" borderId="10" xfId="0" applyFont="1" applyFill="1" applyBorder="1"/>
    <xf numFmtId="0" fontId="2" fillId="11" borderId="17" xfId="0" applyFont="1" applyFill="1" applyBorder="1"/>
    <xf numFmtId="0" fontId="2" fillId="11" borderId="11" xfId="0" applyFont="1" applyFill="1" applyBorder="1"/>
    <xf numFmtId="0" fontId="28" fillId="0" borderId="0" xfId="0" applyFont="1"/>
    <xf numFmtId="0" fontId="26" fillId="0" borderId="0" xfId="0" applyFont="1"/>
    <xf numFmtId="167" fontId="35" fillId="2" borderId="28" xfId="5" applyNumberFormat="1" applyBorder="1" applyAlignment="1" applyProtection="1">
      <alignment horizontal="center" vertical="center"/>
    </xf>
    <xf numFmtId="166" fontId="35" fillId="2" borderId="26" xfId="5" applyNumberFormat="1" applyBorder="1" applyAlignment="1" applyProtection="1">
      <alignment horizontal="center" vertical="center"/>
    </xf>
    <xf numFmtId="1" fontId="35" fillId="2" borderId="28" xfId="5" applyNumberFormat="1" applyBorder="1" applyAlignment="1" applyProtection="1">
      <alignment horizontal="center"/>
    </xf>
    <xf numFmtId="166" fontId="35" fillId="2" borderId="28" xfId="5" applyNumberFormat="1" applyBorder="1" applyAlignment="1" applyProtection="1">
      <alignment horizontal="center" vertical="center"/>
    </xf>
    <xf numFmtId="166" fontId="35" fillId="2" borderId="30" xfId="5" applyNumberFormat="1" applyBorder="1" applyAlignment="1" applyProtection="1">
      <alignment horizontal="center" vertical="center"/>
    </xf>
    <xf numFmtId="1" fontId="35" fillId="2" borderId="33" xfId="5" applyNumberFormat="1" applyBorder="1" applyAlignment="1" applyProtection="1">
      <alignment horizontal="center" vertical="center"/>
    </xf>
    <xf numFmtId="2" fontId="35" fillId="2" borderId="33" xfId="5" applyNumberFormat="1" applyBorder="1" applyAlignment="1" applyProtection="1">
      <alignment horizontal="center" vertical="center"/>
    </xf>
    <xf numFmtId="1" fontId="35" fillId="2" borderId="34" xfId="5" applyNumberFormat="1" applyBorder="1" applyAlignment="1" applyProtection="1">
      <alignment horizontal="center" vertical="center"/>
    </xf>
    <xf numFmtId="166" fontId="35" fillId="2" borderId="24" xfId="5" applyNumberFormat="1" applyBorder="1" applyAlignment="1" applyProtection="1">
      <alignment horizontal="center" vertical="center"/>
    </xf>
    <xf numFmtId="166" fontId="35" fillId="2" borderId="35" xfId="5" applyNumberFormat="1" applyBorder="1" applyAlignment="1" applyProtection="1">
      <alignment horizontal="center" vertical="center"/>
    </xf>
    <xf numFmtId="0" fontId="29" fillId="7" borderId="28" xfId="3" applyFont="1" applyBorder="1" applyAlignment="1" applyProtection="1">
      <alignment horizontal="center"/>
      <protection locked="0"/>
    </xf>
    <xf numFmtId="0" fontId="29" fillId="7" borderId="28" xfId="3" applyFont="1" applyBorder="1" applyAlignment="1" applyProtection="1">
      <alignment horizontal="center" vertical="center"/>
      <protection locked="0"/>
    </xf>
    <xf numFmtId="0" fontId="43" fillId="0" borderId="0" xfId="0" applyFont="1"/>
    <xf numFmtId="0" fontId="36" fillId="0" borderId="0" xfId="0" applyFont="1" applyAlignment="1"/>
    <xf numFmtId="9" fontId="36" fillId="11" borderId="1" xfId="0" applyNumberFormat="1" applyFont="1" applyFill="1" applyBorder="1" applyAlignment="1">
      <alignment horizontal="center"/>
    </xf>
    <xf numFmtId="9" fontId="36" fillId="11" borderId="1" xfId="0" applyNumberFormat="1" applyFont="1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4" fillId="0" borderId="0" xfId="0" applyFont="1"/>
    <xf numFmtId="0" fontId="46" fillId="0" borderId="0" xfId="0" applyFont="1"/>
    <xf numFmtId="0" fontId="47" fillId="0" borderId="0" xfId="0" applyFont="1"/>
    <xf numFmtId="0" fontId="2" fillId="11" borderId="1" xfId="0" applyFont="1" applyFill="1" applyBorder="1" applyAlignment="1" applyProtection="1">
      <alignment horizontal="left" vertical="center"/>
    </xf>
    <xf numFmtId="165" fontId="16" fillId="11" borderId="1" xfId="0" applyNumberFormat="1" applyFont="1" applyFill="1" applyBorder="1" applyAlignment="1">
      <alignment horizontal="center" vertical="center"/>
    </xf>
    <xf numFmtId="0" fontId="22" fillId="12" borderId="1" xfId="0" applyFont="1" applyFill="1" applyBorder="1" applyAlignment="1" applyProtection="1">
      <alignment horizontal="left" vertical="center"/>
    </xf>
    <xf numFmtId="0" fontId="48" fillId="0" borderId="0" xfId="0" applyFont="1"/>
    <xf numFmtId="0" fontId="22" fillId="11" borderId="1" xfId="0" applyFont="1" applyFill="1" applyBorder="1" applyAlignment="1" applyProtection="1">
      <alignment horizontal="center" vertical="center"/>
    </xf>
    <xf numFmtId="0" fontId="22" fillId="11" borderId="36" xfId="0" applyFont="1" applyFill="1" applyBorder="1" applyAlignment="1" applyProtection="1">
      <alignment horizontal="center" vertical="center"/>
    </xf>
    <xf numFmtId="0" fontId="22" fillId="11" borderId="37" xfId="0" applyFont="1" applyFill="1" applyBorder="1" applyAlignment="1" applyProtection="1">
      <alignment horizontal="center" vertical="center"/>
    </xf>
    <xf numFmtId="0" fontId="36" fillId="11" borderId="38" xfId="0" applyFont="1" applyFill="1" applyBorder="1" applyAlignment="1">
      <alignment horizontal="center"/>
    </xf>
    <xf numFmtId="0" fontId="36" fillId="11" borderId="39" xfId="0" applyFont="1" applyFill="1" applyBorder="1" applyAlignment="1">
      <alignment horizontal="center"/>
    </xf>
    <xf numFmtId="0" fontId="36" fillId="11" borderId="40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165" fontId="16" fillId="12" borderId="1" xfId="0" applyNumberFormat="1" applyFont="1" applyFill="1" applyBorder="1" applyAlignment="1">
      <alignment horizontal="center" vertical="center"/>
    </xf>
    <xf numFmtId="168" fontId="36" fillId="11" borderId="1" xfId="0" applyNumberFormat="1" applyFont="1" applyFill="1" applyBorder="1" applyAlignment="1">
      <alignment horizontal="center" vertical="center"/>
    </xf>
    <xf numFmtId="0" fontId="48" fillId="0" borderId="0" xfId="0" applyFont="1" applyFill="1" applyBorder="1"/>
    <xf numFmtId="0" fontId="2" fillId="0" borderId="0" xfId="0" applyFont="1" applyFill="1" applyBorder="1"/>
    <xf numFmtId="169" fontId="22" fillId="6" borderId="0" xfId="0" applyNumberFormat="1" applyFont="1" applyFill="1" applyBorder="1" applyAlignment="1" applyProtection="1">
      <alignment horizontal="left" vertical="center"/>
    </xf>
    <xf numFmtId="0" fontId="49" fillId="0" borderId="0" xfId="0" applyFont="1"/>
    <xf numFmtId="0" fontId="22" fillId="0" borderId="1" xfId="0" applyFont="1" applyFill="1" applyBorder="1" applyAlignment="1" applyProtection="1">
      <alignment horizontal="left" vertical="center"/>
    </xf>
    <xf numFmtId="2" fontId="22" fillId="0" borderId="1" xfId="0" applyNumberFormat="1" applyFont="1" applyFill="1" applyBorder="1" applyAlignment="1" applyProtection="1">
      <alignment horizontal="left" vertical="center"/>
    </xf>
    <xf numFmtId="0" fontId="50" fillId="0" borderId="0" xfId="0" applyFont="1"/>
    <xf numFmtId="168" fontId="36" fillId="0" borderId="1" xfId="0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vertical="center"/>
    </xf>
    <xf numFmtId="0" fontId="51" fillId="10" borderId="0" xfId="0" applyFont="1" applyFill="1"/>
    <xf numFmtId="0" fontId="3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5" fontId="1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167" fontId="35" fillId="2" borderId="42" xfId="5" applyNumberFormat="1" applyBorder="1" applyAlignment="1" applyProtection="1">
      <alignment horizontal="center" vertical="center"/>
    </xf>
    <xf numFmtId="1" fontId="35" fillId="2" borderId="42" xfId="5" applyNumberFormat="1" applyBorder="1" applyAlignment="1" applyProtection="1">
      <alignment horizontal="center"/>
    </xf>
    <xf numFmtId="0" fontId="26" fillId="0" borderId="0" xfId="0" applyFont="1" applyFill="1" applyBorder="1"/>
    <xf numFmtId="2" fontId="22" fillId="11" borderId="1" xfId="0" applyNumberFormat="1" applyFont="1" applyFill="1" applyBorder="1" applyAlignment="1" applyProtection="1">
      <alignment horizontal="left" vertical="center"/>
    </xf>
    <xf numFmtId="169" fontId="22" fillId="11" borderId="1" xfId="0" applyNumberFormat="1" applyFont="1" applyFill="1" applyBorder="1" applyAlignment="1" applyProtection="1">
      <alignment horizontal="left" vertical="center"/>
    </xf>
    <xf numFmtId="0" fontId="36" fillId="0" borderId="1" xfId="0" applyFont="1" applyBorder="1" applyAlignment="1">
      <alignment horizontal="center" wrapText="1"/>
    </xf>
    <xf numFmtId="2" fontId="36" fillId="0" borderId="1" xfId="0" applyNumberFormat="1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/>
    <xf numFmtId="0" fontId="23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2" fillId="6" borderId="10" xfId="0" applyFont="1" applyFill="1" applyBorder="1" applyAlignment="1" applyProtection="1">
      <alignment horizontal="center" vertical="top"/>
    </xf>
    <xf numFmtId="170" fontId="35" fillId="2" borderId="20" xfId="5" applyNumberFormat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center" vertical="top"/>
    </xf>
    <xf numFmtId="170" fontId="35" fillId="2" borderId="43" xfId="5" applyNumberFormat="1" applyBorder="1" applyAlignment="1" applyProtection="1">
      <alignment horizontal="center" vertical="center"/>
    </xf>
    <xf numFmtId="0" fontId="22" fillId="6" borderId="11" xfId="0" applyFont="1" applyFill="1" applyBorder="1" applyAlignment="1" applyProtection="1">
      <alignment horizontal="center" vertical="top"/>
    </xf>
    <xf numFmtId="170" fontId="35" fillId="2" borderId="44" xfId="5" applyNumberFormat="1" applyBorder="1" applyAlignment="1" applyProtection="1">
      <alignment horizontal="center" vertical="center"/>
    </xf>
    <xf numFmtId="170" fontId="35" fillId="2" borderId="45" xfId="5" applyNumberFormat="1" applyBorder="1" applyAlignment="1" applyProtection="1">
      <alignment horizontal="center" vertical="center"/>
    </xf>
    <xf numFmtId="170" fontId="35" fillId="2" borderId="19" xfId="5" applyNumberFormat="1" applyBorder="1" applyAlignment="1" applyProtection="1">
      <alignment horizontal="center" vertical="center"/>
    </xf>
    <xf numFmtId="0" fontId="23" fillId="0" borderId="0" xfId="0" applyFont="1"/>
    <xf numFmtId="0" fontId="26" fillId="0" borderId="0" xfId="0" applyFont="1" applyProtection="1">
      <protection locked="0"/>
    </xf>
    <xf numFmtId="0" fontId="22" fillId="6" borderId="18" xfId="0" applyFont="1" applyFill="1" applyBorder="1" applyAlignment="1" applyProtection="1">
      <alignment horizontal="lef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21" fillId="4" borderId="15" xfId="0" applyFont="1" applyFill="1" applyBorder="1" applyAlignment="1">
      <alignment horizontal="left"/>
    </xf>
    <xf numFmtId="0" fontId="21" fillId="4" borderId="19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left"/>
    </xf>
    <xf numFmtId="0" fontId="21" fillId="3" borderId="19" xfId="0" applyFont="1" applyFill="1" applyBorder="1" applyAlignment="1">
      <alignment horizontal="left"/>
    </xf>
    <xf numFmtId="0" fontId="41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6">
    <cellStyle name="Dane wejściowe" xfId="3" builtinId="20" customBuiltin="1"/>
    <cellStyle name="Dane wyjściowe" xfId="4" builtinId="21"/>
    <cellStyle name="Nagłówek 2" xfId="2" builtinId="17"/>
    <cellStyle name="Normalny" xfId="0" builtinId="0"/>
    <cellStyle name="Obliczenia" xfId="5" builtinId="22" customBuiltin="1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" dropStyle="combo" dx="16" fmlaLink="$C$8" fmlaRange="$V$1:$V$4" sel="2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19</xdr:row>
      <xdr:rowOff>38100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292608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325755</xdr:colOff>
      <xdr:row>9</xdr:row>
      <xdr:rowOff>38100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2926080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238125</xdr:rowOff>
        </xdr:from>
        <xdr:to>
          <xdr:col>12</xdr:col>
          <xdr:colOff>628650</xdr:colOff>
          <xdr:row>2</xdr:row>
          <xdr:rowOff>9525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514350</xdr:colOff>
      <xdr:row>26</xdr:row>
      <xdr:rowOff>9525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0" cy="481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57150</xdr:rowOff>
    </xdr:from>
    <xdr:to>
      <xdr:col>8</xdr:col>
      <xdr:colOff>342900</xdr:colOff>
      <xdr:row>57</xdr:row>
      <xdr:rowOff>57150</xdr:rowOff>
    </xdr:to>
    <xdr:pic>
      <xdr:nvPicPr>
        <xdr:cNvPr id="102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05425"/>
          <a:ext cx="5829300" cy="50673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66675</xdr:colOff>
      <xdr:row>1</xdr:row>
      <xdr:rowOff>85725</xdr:rowOff>
    </xdr:from>
    <xdr:to>
      <xdr:col>18</xdr:col>
      <xdr:colOff>28575</xdr:colOff>
      <xdr:row>4</xdr:row>
      <xdr:rowOff>133350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24675" y="266700"/>
          <a:ext cx="5448300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"/>
  <sheetViews>
    <sheetView tabSelected="1" zoomScale="85" zoomScaleNormal="85" workbookViewId="0">
      <selection activeCell="D15" sqref="D15"/>
    </sheetView>
  </sheetViews>
  <sheetFormatPr defaultRowHeight="14.25"/>
  <cols>
    <col min="2" max="2" width="47.125" customWidth="1"/>
    <col min="3" max="3" width="15.125" customWidth="1"/>
    <col min="4" max="4" width="37.5" customWidth="1"/>
    <col min="5" max="6" width="25.375" customWidth="1"/>
    <col min="7" max="7" width="22.875" customWidth="1"/>
    <col min="8" max="8" width="27.875" customWidth="1"/>
    <col min="9" max="9" width="17.25" customWidth="1"/>
    <col min="10" max="10" width="35.625" style="135" customWidth="1"/>
    <col min="11" max="11" width="17.125" style="135" customWidth="1"/>
    <col min="12" max="12" width="18" style="135" customWidth="1"/>
    <col min="13" max="13" width="16.875" style="135" customWidth="1"/>
    <col min="14" max="14" width="21.5" style="135" customWidth="1"/>
    <col min="15" max="15" width="19.375" style="135" customWidth="1"/>
    <col min="16" max="16" width="17.875" customWidth="1"/>
    <col min="17" max="17" width="17.25" customWidth="1"/>
    <col min="18" max="18" width="15.25" customWidth="1"/>
    <col min="19" max="19" width="13.375" customWidth="1"/>
    <col min="20" max="20" width="11.25" customWidth="1"/>
    <col min="21" max="22" width="16.875" customWidth="1"/>
    <col min="23" max="24" width="17.75" customWidth="1"/>
    <col min="25" max="26" width="18.125" customWidth="1"/>
    <col min="27" max="27" width="9.625" customWidth="1"/>
    <col min="28" max="28" width="22.625" customWidth="1"/>
    <col min="29" max="29" width="15.5" customWidth="1"/>
    <col min="30" max="30" width="35.125" customWidth="1"/>
    <col min="31" max="31" width="17" customWidth="1"/>
    <col min="32" max="32" width="17.125" customWidth="1"/>
    <col min="33" max="33" width="10.875" customWidth="1"/>
  </cols>
  <sheetData>
    <row r="1" spans="1:30" ht="15.75" thickBot="1">
      <c r="A1" s="44"/>
      <c r="B1" s="44"/>
      <c r="C1" s="44"/>
      <c r="D1" s="110"/>
      <c r="E1" s="110"/>
      <c r="F1" s="110"/>
      <c r="G1" s="110"/>
      <c r="H1" s="110"/>
      <c r="I1" s="110"/>
      <c r="J1" s="136"/>
      <c r="K1" s="136"/>
      <c r="L1" s="136"/>
      <c r="M1" s="136"/>
      <c r="N1" s="136"/>
      <c r="O1" s="136"/>
      <c r="P1" s="60"/>
      <c r="Y1" s="60"/>
      <c r="Z1" s="60"/>
    </row>
    <row r="2" spans="1:30" ht="15">
      <c r="A2" s="44"/>
      <c r="B2" s="109" t="s">
        <v>139</v>
      </c>
      <c r="C2" s="81"/>
      <c r="D2" s="63" t="s">
        <v>129</v>
      </c>
      <c r="E2" s="110"/>
      <c r="F2" s="110"/>
      <c r="G2" s="164" t="s">
        <v>304</v>
      </c>
      <c r="H2" s="165" t="s">
        <v>305</v>
      </c>
      <c r="I2" s="110"/>
      <c r="J2" s="206"/>
      <c r="K2" s="136"/>
      <c r="L2" s="206"/>
      <c r="M2" s="136"/>
      <c r="N2" s="136"/>
      <c r="O2" s="136"/>
      <c r="P2" s="60"/>
      <c r="Y2" s="60"/>
      <c r="Z2" s="60"/>
    </row>
    <row r="3" spans="1:30" ht="15">
      <c r="A3" s="44"/>
      <c r="B3" s="128" t="s">
        <v>237</v>
      </c>
      <c r="C3" s="108"/>
      <c r="D3" s="64" t="s">
        <v>154</v>
      </c>
      <c r="E3" s="110"/>
      <c r="F3" s="110"/>
      <c r="G3" s="166" t="s">
        <v>294</v>
      </c>
      <c r="H3" s="167">
        <v>650</v>
      </c>
      <c r="I3" s="110"/>
      <c r="J3" s="136"/>
      <c r="K3" s="136"/>
      <c r="L3" s="206"/>
      <c r="M3" s="136"/>
      <c r="N3" s="136"/>
      <c r="O3" s="136"/>
      <c r="P3" s="60"/>
      <c r="Y3" s="60"/>
      <c r="Z3" s="60"/>
    </row>
    <row r="4" spans="1:30" ht="15.75" thickBot="1">
      <c r="A4" s="44"/>
      <c r="B4" s="44"/>
      <c r="C4" s="44"/>
      <c r="D4" s="44"/>
      <c r="E4" s="110"/>
      <c r="F4" s="110"/>
      <c r="G4" s="166" t="s">
        <v>295</v>
      </c>
      <c r="H4" s="167">
        <v>730</v>
      </c>
      <c r="I4" s="110"/>
      <c r="J4" s="136"/>
      <c r="K4" s="136"/>
      <c r="L4" s="136"/>
      <c r="M4" s="136"/>
      <c r="N4" s="136"/>
      <c r="O4" s="136"/>
      <c r="P4" s="60"/>
      <c r="Y4" s="60"/>
      <c r="Z4" s="60"/>
    </row>
    <row r="5" spans="1:30" ht="18.75">
      <c r="A5" s="44"/>
      <c r="B5" s="65" t="s">
        <v>116</v>
      </c>
      <c r="C5" s="87" t="s">
        <v>66</v>
      </c>
      <c r="D5" s="88"/>
      <c r="E5" s="73"/>
      <c r="F5" s="73"/>
      <c r="G5" s="166" t="s">
        <v>296</v>
      </c>
      <c r="H5" s="167">
        <v>710</v>
      </c>
      <c r="I5" s="73"/>
      <c r="J5" s="136"/>
      <c r="K5" s="136"/>
      <c r="L5" s="136"/>
      <c r="M5" s="136"/>
      <c r="N5" s="136"/>
      <c r="O5" s="136"/>
      <c r="P5" s="60"/>
      <c r="Y5" s="60"/>
      <c r="Z5" s="60"/>
    </row>
    <row r="6" spans="1:30" ht="15">
      <c r="A6" s="44"/>
      <c r="B6" s="111" t="s">
        <v>285</v>
      </c>
      <c r="C6" s="83"/>
      <c r="D6" s="89"/>
      <c r="E6" s="73"/>
      <c r="F6" s="73"/>
      <c r="G6" s="166" t="s">
        <v>297</v>
      </c>
      <c r="H6" s="167">
        <v>830</v>
      </c>
      <c r="I6" s="73"/>
      <c r="J6" s="136"/>
      <c r="K6" s="136"/>
      <c r="L6" s="136"/>
      <c r="M6" s="136"/>
      <c r="N6" s="136"/>
      <c r="O6" s="136"/>
      <c r="P6" s="60"/>
      <c r="Y6" s="60"/>
      <c r="Z6" s="60"/>
    </row>
    <row r="7" spans="1:30" ht="15">
      <c r="A7" s="44"/>
      <c r="B7" s="111" t="s">
        <v>286</v>
      </c>
      <c r="C7" s="83"/>
      <c r="D7" s="89"/>
      <c r="E7" s="73"/>
      <c r="F7" s="73"/>
      <c r="G7" s="166" t="s">
        <v>298</v>
      </c>
      <c r="H7" s="167">
        <v>450</v>
      </c>
      <c r="I7" s="73"/>
      <c r="J7" s="136"/>
      <c r="K7" s="136"/>
      <c r="L7" s="136"/>
      <c r="M7" s="136"/>
      <c r="N7" s="136"/>
      <c r="O7" s="136"/>
      <c r="P7" s="60"/>
      <c r="Y7" s="60"/>
      <c r="Z7" s="60"/>
    </row>
    <row r="8" spans="1:30" ht="15">
      <c r="A8" s="106" t="s">
        <v>119</v>
      </c>
      <c r="B8" s="111" t="s">
        <v>118</v>
      </c>
      <c r="C8" s="86"/>
      <c r="D8" s="147" t="s">
        <v>119</v>
      </c>
      <c r="E8" s="44"/>
      <c r="F8" s="44"/>
      <c r="G8" s="166" t="s">
        <v>299</v>
      </c>
      <c r="H8" s="167">
        <v>690</v>
      </c>
      <c r="I8" s="44"/>
      <c r="J8" s="206"/>
      <c r="K8" s="136"/>
      <c r="L8" s="136"/>
      <c r="M8" s="136"/>
      <c r="N8" s="136"/>
      <c r="O8" s="136"/>
      <c r="P8" s="60"/>
      <c r="Y8" s="60"/>
      <c r="Z8" s="60"/>
    </row>
    <row r="9" spans="1:30" ht="15">
      <c r="A9" s="106" t="s">
        <v>120</v>
      </c>
      <c r="B9" s="111" t="s">
        <v>123</v>
      </c>
      <c r="C9" s="86"/>
      <c r="D9" s="147" t="s">
        <v>120</v>
      </c>
      <c r="E9" s="62"/>
      <c r="F9" s="62"/>
      <c r="G9" s="166" t="s">
        <v>300</v>
      </c>
      <c r="H9" s="167">
        <v>530</v>
      </c>
      <c r="I9" s="62"/>
      <c r="J9" s="136"/>
      <c r="K9" s="136"/>
      <c r="L9" s="136"/>
      <c r="M9" s="136"/>
      <c r="N9" s="136"/>
      <c r="O9" s="136"/>
      <c r="P9" s="60"/>
      <c r="Y9" s="60"/>
      <c r="Z9" s="60"/>
    </row>
    <row r="10" spans="1:30" ht="15">
      <c r="A10" s="44"/>
      <c r="B10" s="111" t="s">
        <v>124</v>
      </c>
      <c r="C10" s="86"/>
      <c r="D10" s="147" t="s">
        <v>120</v>
      </c>
      <c r="E10" s="62"/>
      <c r="F10" s="62"/>
      <c r="G10" s="166" t="s">
        <v>301</v>
      </c>
      <c r="H10" s="167">
        <v>440</v>
      </c>
      <c r="I10" s="62"/>
      <c r="J10" s="136"/>
      <c r="K10" s="136"/>
      <c r="L10" s="136"/>
      <c r="M10" s="136"/>
      <c r="N10" s="136"/>
      <c r="O10" s="136"/>
      <c r="P10" s="60"/>
      <c r="Y10" s="60"/>
      <c r="Z10" s="60"/>
    </row>
    <row r="11" spans="1:30" ht="17.25">
      <c r="A11" s="44"/>
      <c r="B11" s="111" t="s">
        <v>117</v>
      </c>
      <c r="C11" s="83" t="s">
        <v>111</v>
      </c>
      <c r="D11" s="89">
        <v>200</v>
      </c>
      <c r="E11" s="62"/>
      <c r="F11" s="62"/>
      <c r="G11" s="166" t="s">
        <v>302</v>
      </c>
      <c r="H11" s="167">
        <v>550</v>
      </c>
      <c r="I11" s="62"/>
      <c r="J11" s="136"/>
    </row>
    <row r="12" spans="1:30" ht="15.75" thickBot="1">
      <c r="A12" s="44"/>
      <c r="B12" s="112" t="s">
        <v>113</v>
      </c>
      <c r="C12" s="90" t="s">
        <v>114</v>
      </c>
      <c r="D12" s="91">
        <v>3</v>
      </c>
      <c r="E12" s="44"/>
      <c r="F12" s="44"/>
      <c r="G12" s="168" t="s">
        <v>303</v>
      </c>
      <c r="H12" s="169">
        <v>470</v>
      </c>
      <c r="I12" s="57"/>
      <c r="J12" s="207"/>
    </row>
    <row r="13" spans="1:30" ht="15.75" thickBot="1">
      <c r="A13" s="44"/>
      <c r="B13" s="44"/>
      <c r="C13" s="44"/>
      <c r="D13" s="44"/>
      <c r="F13" s="62"/>
      <c r="G13" s="62"/>
      <c r="H13" s="62"/>
      <c r="I13" s="58"/>
      <c r="J13" s="136"/>
      <c r="K13" s="136"/>
      <c r="L13" s="136"/>
      <c r="M13" s="136"/>
      <c r="N13" s="136"/>
      <c r="O13" s="136"/>
      <c r="P13" s="60"/>
      <c r="Y13" s="60"/>
      <c r="Z13" s="60"/>
      <c r="AB13" s="60"/>
      <c r="AC13" s="60"/>
      <c r="AD13" s="60"/>
    </row>
    <row r="14" spans="1:30" ht="19.5" thickBot="1">
      <c r="A14" s="44"/>
      <c r="B14" s="65" t="s">
        <v>156</v>
      </c>
      <c r="C14" s="92"/>
      <c r="D14" s="88"/>
      <c r="E14" s="62"/>
      <c r="F14" s="62"/>
      <c r="G14" s="62"/>
      <c r="H14" s="62"/>
      <c r="I14" s="58"/>
      <c r="J14" s="136"/>
      <c r="K14" s="136"/>
      <c r="L14" s="136"/>
      <c r="M14" s="136"/>
      <c r="N14" s="136"/>
      <c r="O14" s="136"/>
      <c r="P14" s="60"/>
      <c r="Y14" s="60"/>
      <c r="Z14" s="60"/>
      <c r="AC14" s="60"/>
      <c r="AD14" s="60"/>
    </row>
    <row r="15" spans="1:30" ht="30">
      <c r="A15" s="44"/>
      <c r="B15" s="111" t="s">
        <v>125</v>
      </c>
      <c r="C15" s="83"/>
      <c r="D15" s="96" t="s">
        <v>318</v>
      </c>
      <c r="E15" s="62"/>
      <c r="F15" s="62"/>
      <c r="G15" s="132" t="s">
        <v>228</v>
      </c>
      <c r="H15" s="62"/>
      <c r="I15" s="58"/>
      <c r="K15" s="136"/>
      <c r="M15" s="136"/>
      <c r="N15" s="136"/>
      <c r="O15" s="136"/>
      <c r="P15" s="60"/>
      <c r="Y15" s="60"/>
      <c r="Z15" s="60"/>
      <c r="AC15" s="60"/>
      <c r="AD15" s="60"/>
    </row>
    <row r="16" spans="1:30" ht="15">
      <c r="A16" s="44"/>
      <c r="B16" s="111" t="s">
        <v>135</v>
      </c>
      <c r="C16" s="83"/>
      <c r="D16" s="89" t="s">
        <v>131</v>
      </c>
      <c r="E16" s="44"/>
      <c r="F16" s="44"/>
      <c r="G16" s="133" t="s">
        <v>363</v>
      </c>
      <c r="H16" s="44"/>
      <c r="I16" s="58"/>
      <c r="J16" s="193" t="s">
        <v>16</v>
      </c>
      <c r="K16" s="194"/>
      <c r="L16" s="193" t="s">
        <v>132</v>
      </c>
      <c r="M16" s="136"/>
      <c r="N16" s="136"/>
      <c r="O16" s="136"/>
      <c r="P16" s="60"/>
      <c r="Y16" s="60"/>
      <c r="Z16" s="60"/>
      <c r="AC16" s="60"/>
      <c r="AD16" s="60"/>
    </row>
    <row r="17" spans="1:30" ht="15">
      <c r="A17" s="44"/>
      <c r="B17" s="111" t="s">
        <v>145</v>
      </c>
      <c r="C17" s="83" t="s">
        <v>140</v>
      </c>
      <c r="D17" s="89">
        <v>5000</v>
      </c>
      <c r="E17" s="62"/>
      <c r="F17" s="62"/>
      <c r="G17" s="133" t="s">
        <v>150</v>
      </c>
      <c r="H17" s="62"/>
      <c r="I17" s="58"/>
      <c r="J17" s="193" t="s">
        <v>134</v>
      </c>
      <c r="K17" s="194"/>
      <c r="L17" s="193" t="s">
        <v>131</v>
      </c>
      <c r="N17" s="136"/>
      <c r="O17" s="136"/>
      <c r="P17" s="60"/>
      <c r="Y17" s="60"/>
      <c r="Z17" s="60"/>
    </row>
    <row r="18" spans="1:30" ht="15.75" thickBot="1">
      <c r="A18" s="44"/>
      <c r="B18" s="66" t="s">
        <v>136</v>
      </c>
      <c r="C18" s="83" t="s">
        <v>142</v>
      </c>
      <c r="D18" s="137">
        <f>VLOOKUP(D16,'emisje i wskaźniki'!B34:G40,4,FALSE)</f>
        <v>6.2977259999999999</v>
      </c>
      <c r="E18" s="62"/>
      <c r="F18" s="62"/>
      <c r="G18" s="134" t="s">
        <v>151</v>
      </c>
      <c r="H18" s="62"/>
      <c r="I18" s="58"/>
      <c r="J18" s="193" t="s">
        <v>308</v>
      </c>
      <c r="K18" s="188"/>
      <c r="L18" s="193" t="s">
        <v>64</v>
      </c>
      <c r="M18" s="136"/>
      <c r="N18" s="136"/>
      <c r="O18" s="136"/>
      <c r="P18" s="60"/>
      <c r="Y18" s="60"/>
      <c r="Z18" s="60"/>
    </row>
    <row r="19" spans="1:30" ht="32.25" customHeight="1">
      <c r="A19" s="44"/>
      <c r="B19" s="67" t="s">
        <v>157</v>
      </c>
      <c r="C19" s="83" t="s">
        <v>115</v>
      </c>
      <c r="D19" s="139">
        <f>(D17*D18)</f>
        <v>31488.63</v>
      </c>
      <c r="E19" s="62"/>
      <c r="F19" s="62"/>
      <c r="G19" s="62"/>
      <c r="H19" s="62"/>
      <c r="I19" s="58"/>
      <c r="J19" s="195" t="s">
        <v>318</v>
      </c>
      <c r="K19" s="188"/>
      <c r="L19" s="193" t="s">
        <v>322</v>
      </c>
      <c r="N19" s="136"/>
    </row>
    <row r="20" spans="1:30" ht="30">
      <c r="A20" s="44"/>
      <c r="B20" s="66" t="s">
        <v>137</v>
      </c>
      <c r="C20" s="83"/>
      <c r="D20" s="89" t="s">
        <v>131</v>
      </c>
      <c r="E20" s="44"/>
      <c r="F20" s="44"/>
      <c r="G20" s="44"/>
      <c r="H20" s="44"/>
      <c r="I20" s="58"/>
      <c r="J20" s="195" t="s">
        <v>319</v>
      </c>
      <c r="K20" s="188"/>
      <c r="L20" s="193" t="s">
        <v>133</v>
      </c>
      <c r="N20" s="136"/>
    </row>
    <row r="21" spans="1:30" ht="15">
      <c r="A21" s="44"/>
      <c r="B21" s="111" t="s">
        <v>146</v>
      </c>
      <c r="C21" s="83" t="s">
        <v>140</v>
      </c>
      <c r="D21" s="89">
        <v>0</v>
      </c>
      <c r="E21" s="58" t="s">
        <v>257</v>
      </c>
      <c r="F21" s="62"/>
      <c r="G21" s="62"/>
      <c r="H21" s="62"/>
      <c r="I21" s="58"/>
      <c r="J21" s="193" t="s">
        <v>149</v>
      </c>
      <c r="K21" s="194"/>
      <c r="L21" s="193" t="s">
        <v>25</v>
      </c>
      <c r="M21" s="136"/>
      <c r="N21" s="136"/>
      <c r="O21" s="136"/>
      <c r="P21" s="60"/>
      <c r="Y21" s="60"/>
      <c r="Z21" s="60"/>
    </row>
    <row r="22" spans="1:30" ht="15">
      <c r="A22" s="44"/>
      <c r="B22" s="66" t="s">
        <v>138</v>
      </c>
      <c r="C22" s="83" t="s">
        <v>142</v>
      </c>
      <c r="D22" s="137">
        <f>VLOOKUP(D20,'emisje i wskaźniki'!B34:G40,4,FALSE)</f>
        <v>6.2977259999999999</v>
      </c>
      <c r="E22" s="62"/>
      <c r="F22" s="62"/>
      <c r="G22" s="62"/>
      <c r="H22" s="62"/>
      <c r="I22" s="58"/>
      <c r="J22" s="193" t="s">
        <v>204</v>
      </c>
      <c r="K22" s="194"/>
      <c r="L22" s="193" t="s">
        <v>251</v>
      </c>
      <c r="M22" s="136"/>
      <c r="N22" s="136"/>
      <c r="O22" s="136"/>
      <c r="P22" s="60"/>
      <c r="Y22" s="60"/>
      <c r="Z22" s="60"/>
    </row>
    <row r="23" spans="1:30" ht="30">
      <c r="A23" s="44"/>
      <c r="B23" s="67" t="s">
        <v>158</v>
      </c>
      <c r="C23" s="83" t="s">
        <v>115</v>
      </c>
      <c r="D23" s="139">
        <f>(D21*D22)</f>
        <v>0</v>
      </c>
      <c r="E23" s="62"/>
      <c r="F23" s="62"/>
      <c r="G23" s="62"/>
      <c r="H23" s="62"/>
      <c r="I23" s="58"/>
      <c r="J23" s="193" t="s">
        <v>21</v>
      </c>
      <c r="K23" s="188"/>
      <c r="L23" s="193" t="s">
        <v>167</v>
      </c>
      <c r="N23" s="136"/>
      <c r="P23" s="49"/>
      <c r="Q23" s="162"/>
      <c r="R23" s="162"/>
      <c r="S23" s="162"/>
      <c r="T23" s="162"/>
      <c r="U23" s="162"/>
      <c r="V23" s="162"/>
      <c r="W23" s="162"/>
      <c r="X23" s="49"/>
      <c r="AA23" s="60"/>
    </row>
    <row r="24" spans="1:30" ht="15">
      <c r="A24" s="44"/>
      <c r="B24" s="111" t="s">
        <v>126</v>
      </c>
      <c r="C24" s="83"/>
      <c r="D24" s="96" t="s">
        <v>235</v>
      </c>
      <c r="E24" s="58" t="s">
        <v>252</v>
      </c>
      <c r="F24" s="44"/>
      <c r="G24" s="44"/>
      <c r="H24" s="44"/>
      <c r="I24" s="58"/>
      <c r="J24" s="193" t="s">
        <v>227</v>
      </c>
      <c r="K24" s="188"/>
      <c r="L24" s="193" t="s">
        <v>221</v>
      </c>
      <c r="N24" s="136"/>
      <c r="P24" s="49"/>
      <c r="Q24" s="162"/>
      <c r="R24" s="172"/>
      <c r="S24" s="172"/>
      <c r="T24" s="172"/>
      <c r="U24" s="172"/>
      <c r="V24" s="172"/>
      <c r="W24" s="172"/>
      <c r="X24" s="49"/>
      <c r="AA24" s="60"/>
    </row>
    <row r="25" spans="1:30" ht="15">
      <c r="A25" s="44"/>
      <c r="B25" s="66" t="s">
        <v>127</v>
      </c>
      <c r="C25" s="83"/>
      <c r="D25" s="89" t="s">
        <v>221</v>
      </c>
      <c r="E25" s="129" t="s">
        <v>338</v>
      </c>
      <c r="F25" s="62"/>
      <c r="G25" s="62"/>
      <c r="H25" s="62"/>
      <c r="I25" s="58"/>
      <c r="J25" s="193" t="s">
        <v>121</v>
      </c>
      <c r="K25" s="188"/>
      <c r="L25" s="188"/>
      <c r="N25" s="136"/>
      <c r="P25" s="49"/>
      <c r="Q25" s="162"/>
      <c r="R25" s="173"/>
      <c r="S25" s="172"/>
      <c r="T25" s="172"/>
      <c r="U25" s="173"/>
      <c r="V25" s="172"/>
      <c r="W25" s="172"/>
      <c r="X25" s="49"/>
      <c r="AA25" s="60"/>
      <c r="AB25" s="60"/>
    </row>
    <row r="26" spans="1:30" ht="15">
      <c r="A26" s="44"/>
      <c r="B26" s="111" t="s">
        <v>147</v>
      </c>
      <c r="C26" s="83" t="str">
        <f>IF(D25="gaz ziemny","m3",(IF(D25="energia elektryczna","kWh","kg")))</f>
        <v>kg</v>
      </c>
      <c r="D26" s="89">
        <v>0</v>
      </c>
      <c r="E26" s="58" t="s">
        <v>348</v>
      </c>
      <c r="F26" s="62"/>
      <c r="G26" s="62"/>
      <c r="H26" s="62"/>
      <c r="I26" s="58"/>
      <c r="J26" s="193" t="s">
        <v>122</v>
      </c>
      <c r="K26" s="188"/>
      <c r="L26" s="188"/>
      <c r="N26" s="136"/>
      <c r="P26" s="49"/>
      <c r="Q26" s="162"/>
      <c r="R26" s="173"/>
      <c r="S26" s="172"/>
      <c r="T26" s="172"/>
      <c r="U26" s="173"/>
      <c r="V26" s="172"/>
      <c r="W26" s="172"/>
      <c r="X26" s="49"/>
      <c r="AA26" s="60"/>
      <c r="AB26" s="60"/>
    </row>
    <row r="27" spans="1:30" ht="34.5" customHeight="1">
      <c r="A27" s="44"/>
      <c r="B27" s="66" t="s">
        <v>128</v>
      </c>
      <c r="C27" s="83" t="str">
        <f>IF(D25="gaz ziemny","kWh/m3",(IF(D25="energia elektryczna"," ","kWh/kg")))</f>
        <v>kWh/kg</v>
      </c>
      <c r="D27" s="137">
        <f>VLOOKUP(D25,'emisje i wskaźniki'!B34:G41,4,FALSE)</f>
        <v>0</v>
      </c>
      <c r="E27" s="62"/>
      <c r="F27" s="62"/>
      <c r="G27" s="62"/>
      <c r="H27" s="62"/>
      <c r="I27" s="58"/>
      <c r="J27" s="193" t="s">
        <v>17</v>
      </c>
      <c r="K27" s="194"/>
      <c r="L27" s="188" t="s">
        <v>73</v>
      </c>
      <c r="M27" s="194"/>
      <c r="N27" s="194"/>
      <c r="O27" s="188"/>
      <c r="P27" s="49"/>
      <c r="Q27" s="162"/>
      <c r="V27" s="172"/>
      <c r="W27" s="172"/>
      <c r="X27" s="49"/>
      <c r="AA27" s="60"/>
      <c r="AB27" s="60"/>
    </row>
    <row r="28" spans="1:30" ht="30">
      <c r="A28" s="44"/>
      <c r="B28" s="67" t="s">
        <v>159</v>
      </c>
      <c r="C28" s="83" t="s">
        <v>115</v>
      </c>
      <c r="D28" s="138">
        <f>(D26*D27)</f>
        <v>0</v>
      </c>
      <c r="E28" s="57"/>
      <c r="F28" s="57"/>
      <c r="G28" s="57"/>
      <c r="H28" s="58"/>
      <c r="I28" s="58"/>
      <c r="J28" s="193" t="s">
        <v>18</v>
      </c>
      <c r="K28" s="188"/>
      <c r="L28" s="188" t="s">
        <v>4</v>
      </c>
      <c r="M28" s="194"/>
      <c r="N28" s="194"/>
      <c r="O28" s="188" t="s">
        <v>165</v>
      </c>
      <c r="P28" s="49"/>
      <c r="Q28" s="162"/>
      <c r="V28" s="172"/>
      <c r="W28" s="172"/>
      <c r="X28" s="49"/>
      <c r="AA28" s="60"/>
      <c r="AB28" s="60"/>
      <c r="AC28" s="60"/>
      <c r="AD28" s="60"/>
    </row>
    <row r="29" spans="1:30" ht="30">
      <c r="A29" s="44"/>
      <c r="B29" s="84" t="s">
        <v>160</v>
      </c>
      <c r="C29" s="83" t="s">
        <v>143</v>
      </c>
      <c r="D29" s="138">
        <f>D19+D23+D28</f>
        <v>31488.63</v>
      </c>
      <c r="E29" s="57"/>
      <c r="F29" s="57"/>
      <c r="G29" s="57"/>
      <c r="H29" s="58"/>
      <c r="I29" s="58"/>
      <c r="J29" s="193" t="s">
        <v>235</v>
      </c>
      <c r="L29" s="188" t="s">
        <v>5</v>
      </c>
      <c r="M29" s="194"/>
      <c r="N29" s="194"/>
      <c r="O29" s="188" t="s">
        <v>12</v>
      </c>
      <c r="P29" s="49"/>
      <c r="Q29" s="162"/>
      <c r="V29" s="172"/>
      <c r="W29" s="172"/>
      <c r="X29" s="49"/>
      <c r="AA29" s="60"/>
    </row>
    <row r="30" spans="1:30" ht="18.75">
      <c r="A30" s="44"/>
      <c r="B30" s="93" t="s">
        <v>175</v>
      </c>
      <c r="C30" s="85"/>
      <c r="D30" s="94"/>
      <c r="E30" s="58" t="s">
        <v>224</v>
      </c>
      <c r="G30" s="58"/>
      <c r="H30" s="57"/>
      <c r="I30" s="57"/>
      <c r="J30" s="195" t="s">
        <v>22</v>
      </c>
      <c r="K30" s="188"/>
      <c r="L30" s="188" t="s">
        <v>6</v>
      </c>
      <c r="M30" s="194"/>
      <c r="N30" s="194"/>
      <c r="O30" s="188" t="s">
        <v>312</v>
      </c>
      <c r="P30" s="49"/>
      <c r="Q30" s="162"/>
      <c r="V30" s="172"/>
      <c r="W30" s="172"/>
      <c r="X30" s="49"/>
      <c r="AA30" s="60"/>
    </row>
    <row r="31" spans="1:30" ht="30">
      <c r="A31" s="44"/>
      <c r="B31" s="69" t="s">
        <v>352</v>
      </c>
      <c r="C31" s="83" t="s">
        <v>115</v>
      </c>
      <c r="D31" s="140">
        <f>ROUND(D12*35*4.2*(55-10)*0.9*365/(1000)/3.6,3)</f>
        <v>1810.856</v>
      </c>
      <c r="E31" s="58"/>
      <c r="F31" s="58"/>
      <c r="G31" s="58"/>
      <c r="H31" s="59"/>
      <c r="I31" s="59"/>
      <c r="J31" s="193" t="s">
        <v>344</v>
      </c>
      <c r="K31" s="188"/>
      <c r="L31" s="188" t="s">
        <v>7</v>
      </c>
      <c r="M31" s="194"/>
      <c r="N31" s="194"/>
      <c r="O31" s="188" t="s">
        <v>314</v>
      </c>
      <c r="P31" s="49"/>
      <c r="Q31" s="162"/>
      <c r="V31" s="172"/>
      <c r="W31" s="172"/>
      <c r="X31" s="49"/>
      <c r="AA31" s="60"/>
    </row>
    <row r="32" spans="1:30" ht="35.25" customHeight="1">
      <c r="A32" s="44"/>
      <c r="B32" s="114" t="s">
        <v>236</v>
      </c>
      <c r="C32" s="83"/>
      <c r="D32" s="89" t="s">
        <v>235</v>
      </c>
      <c r="E32" s="58" t="s">
        <v>239</v>
      </c>
      <c r="F32" s="58"/>
      <c r="G32" s="58"/>
      <c r="H32" s="58"/>
      <c r="I32" s="58"/>
      <c r="J32" s="193" t="s">
        <v>327</v>
      </c>
      <c r="K32" s="188"/>
      <c r="L32" s="188" t="s">
        <v>8</v>
      </c>
      <c r="M32" s="194"/>
      <c r="N32" s="194"/>
      <c r="O32" s="188" t="s">
        <v>313</v>
      </c>
      <c r="P32" s="49"/>
      <c r="Q32" s="162"/>
      <c r="V32" s="172"/>
      <c r="W32" s="172"/>
      <c r="X32" s="49"/>
      <c r="AA32" s="60"/>
    </row>
    <row r="33" spans="1:30" ht="54.75" customHeight="1">
      <c r="A33" s="44"/>
      <c r="B33" s="114" t="s">
        <v>234</v>
      </c>
      <c r="C33" s="83" t="s">
        <v>130</v>
      </c>
      <c r="D33" s="95">
        <v>0</v>
      </c>
      <c r="E33" s="58"/>
      <c r="F33" s="58"/>
      <c r="G33" s="58"/>
      <c r="H33" s="58"/>
      <c r="I33" s="58"/>
      <c r="J33" s="193" t="s">
        <v>325</v>
      </c>
      <c r="K33" s="188"/>
      <c r="L33" s="196" t="s">
        <v>74</v>
      </c>
      <c r="M33" s="194"/>
      <c r="N33" s="194"/>
      <c r="O33" s="188" t="s">
        <v>315</v>
      </c>
      <c r="P33" s="49"/>
      <c r="Q33" s="162"/>
      <c r="V33" s="172"/>
      <c r="W33" s="172"/>
      <c r="X33" s="49"/>
      <c r="AA33" s="60"/>
    </row>
    <row r="34" spans="1:30" ht="35.25" customHeight="1">
      <c r="A34" s="44"/>
      <c r="B34" s="114" t="s">
        <v>164</v>
      </c>
      <c r="C34" s="83"/>
      <c r="D34" s="96" t="s">
        <v>4</v>
      </c>
      <c r="E34" s="58"/>
      <c r="F34" s="58"/>
      <c r="G34" s="58"/>
      <c r="H34" s="58"/>
      <c r="I34" s="58"/>
      <c r="J34" s="193" t="s">
        <v>326</v>
      </c>
      <c r="K34" s="188"/>
      <c r="L34" s="194"/>
      <c r="N34" s="136"/>
      <c r="P34" s="49"/>
      <c r="Q34" s="49"/>
      <c r="R34" s="173"/>
      <c r="S34" s="172"/>
      <c r="T34" s="172"/>
      <c r="U34" s="173"/>
      <c r="V34" s="172"/>
      <c r="W34" s="172"/>
      <c r="X34" s="49"/>
      <c r="AA34" s="60"/>
    </row>
    <row r="35" spans="1:30" ht="33.75" customHeight="1">
      <c r="A35" s="44"/>
      <c r="B35" s="114" t="s">
        <v>144</v>
      </c>
      <c r="C35" s="83"/>
      <c r="D35" s="96" t="s">
        <v>165</v>
      </c>
      <c r="E35" s="58"/>
      <c r="F35" s="58"/>
      <c r="G35" s="58"/>
      <c r="H35" s="58"/>
      <c r="I35" s="58"/>
      <c r="J35" s="193" t="s">
        <v>60</v>
      </c>
      <c r="K35" s="188"/>
      <c r="L35" s="194"/>
      <c r="N35" s="136"/>
      <c r="P35" s="49"/>
      <c r="Q35" s="49"/>
      <c r="R35" s="173"/>
      <c r="S35" s="172"/>
      <c r="T35" s="172"/>
      <c r="U35" s="173"/>
      <c r="V35" s="173"/>
      <c r="W35" s="173"/>
      <c r="X35" s="49"/>
      <c r="AA35" s="60"/>
    </row>
    <row r="36" spans="1:30" ht="51.75" customHeight="1">
      <c r="A36" s="44"/>
      <c r="B36" s="69" t="s">
        <v>353</v>
      </c>
      <c r="C36" s="83" t="s">
        <v>115</v>
      </c>
      <c r="D36" s="140">
        <f>IF(D32="Brak",0,D31*D33/(VLOOKUP(D32,CWU!A34:B51,2,FALSE)*VLOOKUP(D34,CWU!A14:B20,2,FALSE)*VLOOKUP(D35,CWU!A25:B30,2,FALSE)))</f>
        <v>0</v>
      </c>
      <c r="E36" s="44"/>
      <c r="F36" s="44"/>
      <c r="G36" s="44"/>
      <c r="H36" s="58"/>
      <c r="I36" s="58"/>
      <c r="J36" s="193" t="s">
        <v>61</v>
      </c>
      <c r="L36" s="188"/>
      <c r="N36" s="136"/>
      <c r="P36" s="49"/>
      <c r="Q36" s="49"/>
      <c r="S36" s="173"/>
      <c r="T36" s="173"/>
      <c r="U36" s="173"/>
      <c r="V36" s="173"/>
      <c r="W36" s="173"/>
      <c r="X36" s="49"/>
      <c r="AA36" s="60"/>
    </row>
    <row r="37" spans="1:30" ht="36" customHeight="1">
      <c r="A37" s="44"/>
      <c r="B37" s="69" t="s">
        <v>177</v>
      </c>
      <c r="C37" s="83" t="s">
        <v>173</v>
      </c>
      <c r="D37" s="140">
        <f>D36/12</f>
        <v>0</v>
      </c>
      <c r="E37" s="44"/>
      <c r="F37" s="44"/>
      <c r="G37" s="44"/>
      <c r="H37" s="58"/>
      <c r="I37" s="58"/>
      <c r="J37" s="193" t="s">
        <v>321</v>
      </c>
      <c r="K37" s="194"/>
      <c r="L37" s="197" t="s">
        <v>235</v>
      </c>
      <c r="N37" s="136"/>
      <c r="P37" s="49"/>
      <c r="Q37" s="162"/>
      <c r="S37" s="173"/>
      <c r="T37" s="173"/>
      <c r="U37" s="173"/>
      <c r="V37" s="173"/>
      <c r="W37" s="173"/>
      <c r="X37" s="49"/>
      <c r="AA37" s="60"/>
    </row>
    <row r="38" spans="1:30" ht="31.5" customHeight="1">
      <c r="A38" s="44"/>
      <c r="B38" s="114" t="s">
        <v>169</v>
      </c>
      <c r="C38" s="83"/>
      <c r="D38" s="89" t="s">
        <v>235</v>
      </c>
      <c r="E38" s="58" t="s">
        <v>240</v>
      </c>
      <c r="F38" s="44"/>
      <c r="G38" s="44"/>
      <c r="H38" s="58"/>
      <c r="I38" s="58"/>
      <c r="J38" s="193" t="s">
        <v>320</v>
      </c>
      <c r="L38" s="197" t="s">
        <v>70</v>
      </c>
      <c r="N38" s="136"/>
      <c r="P38" s="49"/>
      <c r="Q38" s="162"/>
      <c r="S38" s="173"/>
      <c r="T38" s="173"/>
      <c r="U38" s="172"/>
      <c r="V38" s="173"/>
      <c r="W38" s="173"/>
      <c r="X38" s="49"/>
      <c r="AA38" s="60"/>
    </row>
    <row r="39" spans="1:30" ht="15">
      <c r="A39" s="44"/>
      <c r="B39" s="114" t="s">
        <v>170</v>
      </c>
      <c r="C39" s="83" t="s">
        <v>141</v>
      </c>
      <c r="D39" s="89">
        <v>0</v>
      </c>
      <c r="E39" s="44"/>
      <c r="F39" s="44"/>
      <c r="G39" s="44"/>
      <c r="H39" s="44"/>
      <c r="I39" s="44"/>
      <c r="J39" s="193" t="s">
        <v>122</v>
      </c>
      <c r="K39" s="188"/>
      <c r="L39" s="197" t="s">
        <v>71</v>
      </c>
      <c r="N39" s="136"/>
      <c r="P39" s="49"/>
      <c r="Q39" s="162"/>
      <c r="S39" s="173"/>
      <c r="T39" s="173"/>
      <c r="U39" s="172"/>
      <c r="V39" s="173"/>
      <c r="W39" s="173"/>
      <c r="X39" s="49"/>
      <c r="AA39" s="60"/>
      <c r="AB39" s="60"/>
      <c r="AC39" s="60"/>
      <c r="AD39" s="60"/>
    </row>
    <row r="40" spans="1:30" ht="30">
      <c r="A40" s="44"/>
      <c r="B40" s="70" t="s">
        <v>171</v>
      </c>
      <c r="C40" s="83" t="s">
        <v>115</v>
      </c>
      <c r="D40" s="140">
        <f>IF(D38="Kolektor płaski",'kolektory słoneczne'!J18,'kolektory słoneczne'!N18)</f>
        <v>0</v>
      </c>
      <c r="F40" s="44"/>
      <c r="G40" s="44"/>
      <c r="H40" s="44"/>
      <c r="I40" s="44"/>
      <c r="J40" s="193" t="s">
        <v>18</v>
      </c>
      <c r="K40" s="188"/>
      <c r="L40" s="188"/>
      <c r="N40" s="136"/>
      <c r="P40" s="49"/>
      <c r="Q40" s="49"/>
      <c r="R40" s="173"/>
      <c r="S40" s="173"/>
      <c r="T40" s="173"/>
      <c r="U40" s="172"/>
      <c r="V40" s="173"/>
      <c r="W40" s="173"/>
      <c r="X40" s="49"/>
      <c r="Z40" s="60"/>
      <c r="AA40" s="60"/>
      <c r="AB40" s="60"/>
      <c r="AC40" s="60"/>
      <c r="AD40" s="60"/>
    </row>
    <row r="41" spans="1:30" ht="33.75" customHeight="1">
      <c r="A41" s="44"/>
      <c r="B41" s="71" t="s">
        <v>354</v>
      </c>
      <c r="C41" s="83" t="s">
        <v>115</v>
      </c>
      <c r="D41" s="140">
        <f>D36-D40</f>
        <v>0</v>
      </c>
      <c r="E41" s="58"/>
      <c r="F41" s="44"/>
      <c r="G41" s="44"/>
      <c r="H41" s="44"/>
      <c r="I41" s="44"/>
      <c r="J41" s="193" t="s">
        <v>121</v>
      </c>
      <c r="K41" s="188"/>
      <c r="L41" s="188"/>
      <c r="N41" s="136"/>
      <c r="P41" s="49"/>
      <c r="Q41" s="162"/>
      <c r="R41" s="162"/>
      <c r="S41" s="49"/>
      <c r="T41" s="49"/>
      <c r="U41" s="162"/>
      <c r="V41" s="49"/>
      <c r="W41" s="49"/>
      <c r="X41" s="49"/>
      <c r="AA41" s="60"/>
      <c r="AB41" s="60"/>
      <c r="AC41" s="60"/>
      <c r="AD41" s="60"/>
    </row>
    <row r="42" spans="1:30" ht="18.75">
      <c r="A42" s="44"/>
      <c r="B42" s="93" t="s">
        <v>274</v>
      </c>
      <c r="C42" s="85"/>
      <c r="D42" s="94"/>
      <c r="E42" s="58"/>
      <c r="F42" s="44"/>
      <c r="G42" s="44"/>
      <c r="H42" s="44"/>
      <c r="I42" s="44"/>
      <c r="J42" s="193" t="s">
        <v>17</v>
      </c>
      <c r="K42" s="188"/>
      <c r="N42" s="136"/>
      <c r="P42" s="49"/>
      <c r="Q42" s="49"/>
      <c r="R42" s="53"/>
      <c r="S42" s="49"/>
      <c r="T42" s="49"/>
      <c r="U42" s="162"/>
      <c r="V42" s="49"/>
      <c r="W42" s="49"/>
      <c r="X42" s="49"/>
      <c r="Y42" s="60"/>
      <c r="Z42" s="60"/>
      <c r="AA42" s="60"/>
      <c r="AB42" s="60"/>
      <c r="AC42" s="60"/>
      <c r="AD42" s="60"/>
    </row>
    <row r="43" spans="1:30" ht="15">
      <c r="A43" s="44"/>
      <c r="B43" s="130" t="s">
        <v>241</v>
      </c>
      <c r="C43" s="83"/>
      <c r="D43" s="147" t="s">
        <v>120</v>
      </c>
      <c r="E43" s="58" t="s">
        <v>242</v>
      </c>
      <c r="F43" s="44"/>
      <c r="G43" s="44"/>
      <c r="H43" s="44"/>
      <c r="I43" s="58"/>
      <c r="J43" s="193" t="s">
        <v>21</v>
      </c>
      <c r="K43" s="188"/>
      <c r="N43" s="136"/>
      <c r="P43" s="49"/>
      <c r="Q43" s="49"/>
      <c r="R43" s="49"/>
      <c r="S43" s="49"/>
      <c r="T43" s="49"/>
      <c r="U43" s="49"/>
      <c r="V43" s="49"/>
      <c r="W43" s="49"/>
      <c r="X43" s="49"/>
      <c r="Y43" s="60"/>
      <c r="Z43" s="60"/>
      <c r="AA43" s="60"/>
      <c r="AB43" s="60"/>
      <c r="AC43" s="60"/>
      <c r="AD43" s="60"/>
    </row>
    <row r="44" spans="1:30" ht="15">
      <c r="A44" s="44"/>
      <c r="B44" s="71" t="s">
        <v>152</v>
      </c>
      <c r="C44" s="83" t="s">
        <v>115</v>
      </c>
      <c r="D44" s="140">
        <f>IF(D43="tak",(IF(OR(D32="brak",D34="Miejscowe przygotowanie ciepłej wody bezpośrednio przy punktach poboru"),(('urządzenia pomocnicze'!D11+'urządzenia pomocnicze'!D12+'urządzenia pomocnicze'!D13)*D11),(('urządzenia pomocnicze'!D11+'urządzenia pomocnicze'!D12+'urządzenia pomocnicze'!D13+('urządzenia pomocnicze'!D19+'urządzenia pomocnicze'!D20+'urządzenia pomocnicze'!D21)*D33)*D11))),0)+IF(D39&gt;0,'urządzenia pomocnicze'!D25*obliczenia!D11,0)</f>
        <v>0</v>
      </c>
      <c r="E44" s="58"/>
      <c r="F44" s="44"/>
      <c r="G44" s="44"/>
      <c r="H44" s="44"/>
      <c r="I44" s="58"/>
      <c r="J44" s="193" t="s">
        <v>19</v>
      </c>
      <c r="K44" s="188"/>
      <c r="L44" s="188"/>
      <c r="N44" s="136"/>
      <c r="P44" s="49"/>
      <c r="Q44" s="49"/>
      <c r="R44" s="162"/>
      <c r="S44" s="49"/>
      <c r="T44" s="49"/>
      <c r="U44" s="49"/>
      <c r="V44" s="49"/>
      <c r="W44" s="49"/>
      <c r="X44" s="49"/>
      <c r="Y44" s="60"/>
      <c r="Z44" s="60"/>
      <c r="AA44" s="60"/>
      <c r="AB44" s="60"/>
      <c r="AC44" s="60"/>
      <c r="AD44" s="60"/>
    </row>
    <row r="45" spans="1:30" ht="18.75">
      <c r="A45" s="44"/>
      <c r="B45" s="93" t="s">
        <v>190</v>
      </c>
      <c r="C45" s="85"/>
      <c r="D45" s="94"/>
      <c r="E45" s="58"/>
      <c r="F45" s="44"/>
      <c r="G45" s="44"/>
      <c r="H45" s="44"/>
      <c r="I45" s="58"/>
      <c r="J45" s="193" t="s">
        <v>20</v>
      </c>
      <c r="K45" s="188"/>
      <c r="L45" s="188"/>
      <c r="N45" s="136"/>
      <c r="P45" s="49"/>
      <c r="Q45" s="49"/>
      <c r="R45" s="162"/>
      <c r="S45" s="49"/>
      <c r="T45" s="49"/>
      <c r="U45" s="49"/>
      <c r="V45" s="49"/>
      <c r="W45" s="49"/>
      <c r="X45" s="49"/>
      <c r="Y45" s="60"/>
      <c r="Z45" s="60"/>
      <c r="AA45" s="60"/>
      <c r="AB45" s="60"/>
      <c r="AC45" s="60"/>
      <c r="AD45" s="60"/>
    </row>
    <row r="46" spans="1:30" ht="15">
      <c r="A46" s="44"/>
      <c r="B46" s="114" t="s">
        <v>179</v>
      </c>
      <c r="C46" s="83" t="s">
        <v>180</v>
      </c>
      <c r="D46" s="89">
        <v>0</v>
      </c>
      <c r="E46" s="44"/>
      <c r="F46" s="44"/>
      <c r="G46" s="77"/>
      <c r="H46" s="44"/>
      <c r="I46" s="58"/>
      <c r="J46" s="193" t="s">
        <v>82</v>
      </c>
      <c r="K46" s="188"/>
      <c r="N46" s="136"/>
      <c r="P46" s="49"/>
      <c r="Q46" s="49"/>
      <c r="R46" s="49"/>
      <c r="S46" s="49"/>
      <c r="T46" s="49"/>
      <c r="U46" s="49"/>
      <c r="V46" s="49"/>
      <c r="W46" s="49"/>
      <c r="X46" s="49"/>
      <c r="Y46" s="60"/>
      <c r="Z46" s="60"/>
      <c r="AA46" s="60"/>
      <c r="AB46" s="60"/>
      <c r="AC46" s="60"/>
      <c r="AD46" s="60"/>
    </row>
    <row r="47" spans="1:30" ht="15">
      <c r="A47" s="44"/>
      <c r="B47" s="70" t="s">
        <v>191</v>
      </c>
      <c r="C47" s="83" t="s">
        <v>140</v>
      </c>
      <c r="D47" s="138">
        <f>D48*0.781</f>
        <v>0</v>
      </c>
      <c r="E47" s="76"/>
      <c r="F47" s="44"/>
      <c r="G47" s="77"/>
      <c r="H47" s="44"/>
      <c r="I47" s="58"/>
      <c r="J47" s="193" t="s">
        <v>83</v>
      </c>
      <c r="K47" s="188"/>
      <c r="N47" s="136"/>
      <c r="P47" s="49"/>
      <c r="Q47" s="49"/>
      <c r="R47" s="49"/>
      <c r="S47" s="49"/>
      <c r="T47" s="49"/>
      <c r="U47" s="49"/>
      <c r="V47" s="49"/>
      <c r="W47" s="49"/>
      <c r="X47" s="49"/>
      <c r="Y47" s="60"/>
      <c r="Z47" s="60"/>
      <c r="AA47" s="60"/>
      <c r="AB47" s="60"/>
      <c r="AC47" s="60"/>
      <c r="AD47" s="60"/>
    </row>
    <row r="48" spans="1:30" ht="15">
      <c r="A48" s="44"/>
      <c r="B48" s="72" t="s">
        <v>182</v>
      </c>
      <c r="C48" s="83" t="s">
        <v>168</v>
      </c>
      <c r="D48" s="138">
        <f>IF(D25="energia elektryczna",IF(OR(D32="Elektryczny podgrzewacz akumulacyjny",D32="Elektryczny podgrzewacz przepływowy"),IF(D46*896&gt;D28+D41+D44,D28+D41+D44,D46*896),IF(D46*896&gt;D28+D44,D28+D44,D46*896)),IF(OR(D32="Elektryczny podgrzewacz akumulacyjny",D32="Elektryczny podgrzewacz przepływowy"),IF(D46*896&gt;D41+D44,D41+D44,D46*896),IF(D46*896&gt;D44,D44,D46*896)))</f>
        <v>0</v>
      </c>
      <c r="F48" s="44"/>
      <c r="G48" s="76"/>
      <c r="H48" s="44"/>
      <c r="I48" s="58"/>
      <c r="J48" s="193" t="s">
        <v>227</v>
      </c>
      <c r="K48" s="188"/>
      <c r="N48" s="136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1:30" ht="18.75">
      <c r="A49" s="44"/>
      <c r="B49" s="93" t="s">
        <v>181</v>
      </c>
      <c r="C49" s="85"/>
      <c r="D49" s="94"/>
      <c r="E49" s="44"/>
      <c r="F49" s="44"/>
      <c r="G49" s="58"/>
      <c r="H49" s="58"/>
      <c r="I49" s="58"/>
      <c r="J49" s="193" t="s">
        <v>235</v>
      </c>
      <c r="K49" s="188"/>
      <c r="N49" s="136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 ht="15">
      <c r="A50" s="44"/>
      <c r="B50" s="72" t="s">
        <v>153</v>
      </c>
      <c r="C50" s="83" t="s">
        <v>115</v>
      </c>
      <c r="D50" s="140">
        <f>D29+D41+D44</f>
        <v>31488.63</v>
      </c>
      <c r="E50" s="44"/>
      <c r="F50" s="44"/>
      <c r="G50" s="58"/>
      <c r="H50" s="58"/>
      <c r="I50" s="58"/>
      <c r="J50" s="193" t="s">
        <v>218</v>
      </c>
      <c r="K50" s="188"/>
      <c r="N50" s="136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 ht="30">
      <c r="A51" s="44"/>
      <c r="B51" s="79" t="s">
        <v>161</v>
      </c>
      <c r="C51" s="83" t="s">
        <v>112</v>
      </c>
      <c r="D51" s="140">
        <f>(D29+D41+D44)/D11</f>
        <v>157.44315</v>
      </c>
      <c r="F51" s="44"/>
      <c r="G51" s="76"/>
      <c r="H51" s="58"/>
      <c r="I51" s="58"/>
      <c r="J51" s="195" t="s">
        <v>318</v>
      </c>
      <c r="K51" s="188"/>
      <c r="L51" s="188"/>
      <c r="N51" s="136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 ht="17.25">
      <c r="A52" s="44"/>
      <c r="B52" s="80" t="s">
        <v>162</v>
      </c>
      <c r="C52" s="83" t="s">
        <v>112</v>
      </c>
      <c r="D52" s="140">
        <f>((D19*VLOOKUP(D16,'emisje i wskaźniki'!B34:H41,7,FALSE)+(D23*VLOOKUP(D20,'emisje i wskaźniki'!B34:H41,7,FALSE))+(D28*VLOOKUP(D25,'emisje i wskaźniki'!B34:H41,7,FALSE))+(D41*VLOOKUP(D32,'emisje i wskaźniki'!B4:E29,4,FALSE))+D44*3-D48*3)/D11)</f>
        <v>173.187465</v>
      </c>
      <c r="E52" s="44"/>
      <c r="F52" s="44"/>
      <c r="G52" s="76"/>
      <c r="H52" s="58"/>
      <c r="I52" s="58"/>
      <c r="J52" s="193" t="s">
        <v>204</v>
      </c>
      <c r="K52" s="188"/>
      <c r="L52" s="188"/>
      <c r="N52" s="136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 ht="18" thickBot="1">
      <c r="A53" s="44"/>
      <c r="B53" s="80" t="s">
        <v>176</v>
      </c>
      <c r="C53" s="83" t="s">
        <v>112</v>
      </c>
      <c r="D53" s="138">
        <f>(D19*VLOOKUP(D15,'emisje i wskaźniki'!B3:H29,2,FALSE)+(D23*VLOOKUP(D15,'emisje i wskaźniki'!B3:H29,2,FALSE))+(D28*VLOOKUP(D24,'emisje i wskaźniki'!B3:H29,2,FALSE))+(D31*D33)+D44)/D11</f>
        <v>101.43188030131199</v>
      </c>
      <c r="E53" s="44"/>
      <c r="F53" s="44"/>
      <c r="G53" s="44"/>
      <c r="H53" s="58"/>
      <c r="I53" s="58"/>
      <c r="J53" s="193" t="s">
        <v>149</v>
      </c>
      <c r="K53" s="136"/>
      <c r="L53" s="136"/>
      <c r="N53" s="136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1:30" ht="18">
      <c r="A54" s="44"/>
      <c r="B54" s="98" t="s">
        <v>163</v>
      </c>
      <c r="C54" s="83" t="s">
        <v>198</v>
      </c>
      <c r="D54" s="140">
        <f>D19*(VLOOKUP(D16,'emisje i wskaźniki'!B34:G41,6,FALSE))+D23*(VLOOKUP(D20,'emisje i wskaźniki'!B34:G40,6,FALSE))+D28*(VLOOKUP(D25,'emisje i wskaźniki'!B34:G41,6,FALSE))+D41*(VLOOKUP(D32,'emisje i wskaźniki'!B4:F29,5,FALSE))+D44*0.781-D47</f>
        <v>10737.362331070133</v>
      </c>
      <c r="E54" s="198" t="s">
        <v>361</v>
      </c>
      <c r="F54" s="199">
        <f>D54/1000</f>
        <v>10.737362331070134</v>
      </c>
      <c r="G54" s="44"/>
      <c r="H54" s="44"/>
      <c r="I54" s="44"/>
      <c r="J54" s="136"/>
      <c r="K54" s="136"/>
      <c r="L54" s="136"/>
      <c r="N54" s="136"/>
      <c r="P54" s="60"/>
      <c r="Q54" s="60"/>
      <c r="R54" s="60"/>
      <c r="S54" s="60"/>
      <c r="T54" s="60"/>
      <c r="U54" s="60"/>
      <c r="V54" s="60"/>
      <c r="W54" s="60"/>
      <c r="X54" s="60"/>
      <c r="AA54" s="60"/>
      <c r="AB54" s="60"/>
      <c r="AC54" s="60"/>
      <c r="AD54" s="60"/>
    </row>
    <row r="55" spans="1:30" ht="15">
      <c r="A55" s="44"/>
      <c r="B55" s="98" t="s">
        <v>194</v>
      </c>
      <c r="C55" s="83" t="s">
        <v>199</v>
      </c>
      <c r="D55" s="140">
        <f>VLOOKUP(D16,'emisje i wskaźniki'!B34:J41,8,FALSE)*D19+VLOOKUP(D20,'emisje i wskaźniki'!B34:J41,8,FALSE)*D23+IF(OR(D24=J22,D24=J31),VLOOKUP(D25,'emisje i wskaźniki'!B34:L41,10,FALSE)*D28,VLOOKUP(D25,'emisje i wskaźniki'!B34:L41,8,FALSE)*D28)+VLOOKUP(D32,'emisje i wskaźniki'!B4:H29,6,FALSE)*D41</f>
        <v>47724.129448696433</v>
      </c>
      <c r="E55" s="200" t="s">
        <v>362</v>
      </c>
      <c r="F55" s="201">
        <f>D55/1000000</f>
        <v>4.7724129448696431E-2</v>
      </c>
      <c r="G55" s="44"/>
      <c r="H55" s="44"/>
      <c r="I55" s="44"/>
      <c r="J55" s="136"/>
      <c r="K55" s="136"/>
      <c r="L55" s="136"/>
      <c r="N55" s="136"/>
      <c r="P55" s="60"/>
      <c r="Q55" s="60"/>
      <c r="R55" s="60"/>
      <c r="S55" s="60"/>
      <c r="T55" s="60"/>
      <c r="U55" s="60"/>
      <c r="V55" s="60"/>
      <c r="W55" s="60"/>
      <c r="X55" s="60"/>
      <c r="AA55" s="60"/>
      <c r="AB55" s="60"/>
      <c r="AC55" s="60"/>
      <c r="AD55" s="60"/>
    </row>
    <row r="56" spans="1:30" ht="15.75" thickBot="1">
      <c r="A56" s="44"/>
      <c r="B56" s="78" t="s">
        <v>197</v>
      </c>
      <c r="C56" s="90" t="s">
        <v>199</v>
      </c>
      <c r="D56" s="141">
        <f>VLOOKUP(D16,'emisje i wskaźniki'!B34:J41,9,FALSE)*D19+VLOOKUP(D20,'emisje i wskaźniki'!B34:J41,9,FALSE)*D23+IF(OR(D24=J22,D24=J31),VLOOKUP(D25,'emisje i wskaźniki'!B34:L41,11,FALSE)*D28,VLOOKUP(D25,'emisje i wskaźniki'!B34:L41,9,FALSE)*D28)+VLOOKUP(D32,'emisje i wskaźniki'!B4:H29,7,FALSE)*D41</f>
        <v>36955.026603978717</v>
      </c>
      <c r="E56" s="202" t="s">
        <v>362</v>
      </c>
      <c r="F56" s="203">
        <f>D56/1000000</f>
        <v>3.6955026603978716E-2</v>
      </c>
      <c r="G56" s="44"/>
      <c r="H56" s="44"/>
      <c r="I56" s="44"/>
      <c r="J56" s="136"/>
      <c r="K56" s="136"/>
      <c r="L56" s="136"/>
      <c r="N56" s="136"/>
      <c r="P56" s="60"/>
      <c r="Q56" s="60"/>
      <c r="R56" s="60"/>
      <c r="S56" s="60"/>
      <c r="T56" s="60"/>
      <c r="U56" s="60"/>
      <c r="V56" s="60"/>
      <c r="W56" s="60"/>
      <c r="X56" s="60"/>
      <c r="AA56" s="60"/>
      <c r="AB56" s="60"/>
      <c r="AC56" s="60"/>
      <c r="AD56" s="60"/>
    </row>
    <row r="57" spans="1:30" ht="15">
      <c r="A57" s="44"/>
      <c r="B57" s="44"/>
      <c r="C57" s="44"/>
      <c r="D57" s="44"/>
      <c r="E57" s="44"/>
      <c r="F57" s="44"/>
      <c r="G57" s="44"/>
      <c r="H57" s="44"/>
      <c r="I57" s="44"/>
      <c r="J57" s="136"/>
      <c r="K57" s="136"/>
      <c r="L57" s="136"/>
      <c r="N57" s="136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</row>
    <row r="58" spans="1:30" ht="15.75" thickBot="1">
      <c r="A58" s="44"/>
      <c r="B58" s="44"/>
      <c r="C58" s="107"/>
      <c r="D58" s="44"/>
      <c r="E58" s="44"/>
      <c r="G58" s="44"/>
      <c r="H58" s="44"/>
      <c r="I58" s="44"/>
      <c r="J58" s="136"/>
      <c r="K58" s="136"/>
      <c r="L58" s="136"/>
      <c r="N58" s="136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ht="18.75">
      <c r="A59" s="44"/>
      <c r="B59" s="65" t="s">
        <v>183</v>
      </c>
      <c r="C59" s="87" t="s">
        <v>66</v>
      </c>
      <c r="D59" s="88"/>
      <c r="E59" s="44"/>
      <c r="F59" s="44"/>
      <c r="G59" s="44"/>
      <c r="H59" s="44"/>
      <c r="I59" s="44"/>
      <c r="J59" s="136"/>
      <c r="K59" s="136"/>
      <c r="L59" s="136"/>
      <c r="N59" s="136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1:30" ht="50.25" customHeight="1">
      <c r="A60" s="44"/>
      <c r="B60" s="111" t="s">
        <v>184</v>
      </c>
      <c r="C60" s="83"/>
      <c r="D60" s="96" t="s">
        <v>22</v>
      </c>
      <c r="E60" s="208" t="s">
        <v>255</v>
      </c>
      <c r="F60" s="209"/>
      <c r="G60" s="209"/>
      <c r="H60" s="44"/>
      <c r="I60" s="44"/>
      <c r="J60" s="136"/>
      <c r="K60" s="136"/>
      <c r="L60" s="136"/>
      <c r="N60" s="136"/>
      <c r="P60" s="60"/>
      <c r="Q60" s="60"/>
      <c r="R60" s="60"/>
      <c r="S60" s="60"/>
      <c r="T60" s="60"/>
      <c r="U60" s="60"/>
      <c r="V60" s="60"/>
      <c r="W60" s="60"/>
      <c r="X60" s="60"/>
      <c r="AA60" s="60"/>
      <c r="AB60" s="60"/>
      <c r="AC60" s="60"/>
      <c r="AD60" s="60"/>
    </row>
    <row r="61" spans="1:30" ht="15">
      <c r="A61" s="44"/>
      <c r="B61" s="66" t="s">
        <v>340</v>
      </c>
      <c r="C61" s="83"/>
      <c r="D61" s="142">
        <f>(D19*VLOOKUP(D15,'emisje i wskaźniki'!B4:D29,2,FALSE)+(D23*VLOOKUP(D15,'emisje i wskaźniki'!B4:D29,2,FALSE)+(D28*VLOOKUP(D24,'emisje i wskaźniki'!B4:D29,2,FALSE))))-(D71*VLOOKUP(D65,'emisje i wskaźniki'!B4:D29,2,FALSE))</f>
        <v>20286.376060262399</v>
      </c>
      <c r="E61" s="44"/>
      <c r="F61" s="44"/>
      <c r="G61" s="44"/>
      <c r="H61" s="44"/>
      <c r="I61" s="44"/>
      <c r="J61" s="136"/>
      <c r="K61" s="136"/>
      <c r="L61" s="136"/>
      <c r="N61" s="136"/>
      <c r="P61" s="60"/>
      <c r="Q61" s="60"/>
      <c r="R61" s="60"/>
      <c r="S61" s="60"/>
      <c r="T61" s="60"/>
      <c r="U61" s="60"/>
      <c r="V61" s="60"/>
      <c r="W61" s="60"/>
      <c r="X61" s="60"/>
      <c r="AA61" s="60"/>
      <c r="AB61" s="60"/>
      <c r="AC61" s="60"/>
      <c r="AD61" s="60"/>
    </row>
    <row r="62" spans="1:30" ht="15">
      <c r="A62" s="44"/>
      <c r="B62" s="66" t="s">
        <v>355</v>
      </c>
      <c r="C62" s="83"/>
      <c r="D62" s="143">
        <f>VLOOKUP(D60,'emisje i wskaźniki'!B4:D29,2,FALSE)</f>
        <v>0.90090000000000003</v>
      </c>
      <c r="E62" s="44"/>
      <c r="F62" s="44"/>
      <c r="G62" s="44"/>
      <c r="H62" s="44"/>
      <c r="I62" s="44"/>
      <c r="J62" s="136"/>
      <c r="K62" s="136"/>
      <c r="L62" s="136"/>
      <c r="N62" s="136"/>
      <c r="P62" s="60"/>
      <c r="Q62" s="60"/>
      <c r="R62" s="60"/>
      <c r="U62" s="60"/>
      <c r="V62" s="60"/>
      <c r="W62" s="60"/>
      <c r="X62" s="60"/>
      <c r="AA62" s="60"/>
      <c r="AB62" s="60"/>
      <c r="AC62" s="60"/>
      <c r="AD62" s="60"/>
    </row>
    <row r="63" spans="1:30" ht="60.75" customHeight="1">
      <c r="A63" s="44"/>
      <c r="B63" s="66" t="s">
        <v>225</v>
      </c>
      <c r="C63" s="83"/>
      <c r="D63" s="143">
        <f>VLOOKUP(D60,'emisje i wskaźniki'!B4:E29,4,FALSE)</f>
        <v>3</v>
      </c>
      <c r="E63" s="44"/>
      <c r="F63" s="44"/>
      <c r="G63" s="44"/>
      <c r="H63" s="44"/>
      <c r="I63" s="44"/>
      <c r="K63" s="136"/>
      <c r="L63" s="136"/>
      <c r="N63" s="136"/>
      <c r="P63" s="60"/>
      <c r="Q63" s="60"/>
      <c r="R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1:30" ht="30">
      <c r="A64" s="44"/>
      <c r="B64" s="131" t="s">
        <v>345</v>
      </c>
      <c r="C64" s="83"/>
      <c r="D64" s="148" t="s">
        <v>119</v>
      </c>
      <c r="E64" s="57" t="s">
        <v>243</v>
      </c>
      <c r="F64" s="44"/>
      <c r="G64" s="44"/>
      <c r="H64" s="44"/>
      <c r="I64" s="44"/>
      <c r="K64" s="136"/>
      <c r="L64" s="136"/>
      <c r="N64" s="136"/>
      <c r="P64" s="60"/>
      <c r="Q64" s="60"/>
      <c r="R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 ht="15">
      <c r="A65" s="44"/>
      <c r="B65" s="111" t="s">
        <v>126</v>
      </c>
      <c r="C65" s="83"/>
      <c r="D65" s="89" t="s">
        <v>235</v>
      </c>
      <c r="E65" s="58" t="s">
        <v>238</v>
      </c>
      <c r="F65" s="44"/>
      <c r="G65" s="44"/>
      <c r="H65" s="44"/>
      <c r="I65" s="44"/>
      <c r="K65" s="136"/>
      <c r="L65" s="136"/>
      <c r="N65" s="136"/>
      <c r="P65" s="60"/>
      <c r="Q65" s="60"/>
      <c r="R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 ht="15">
      <c r="A66" s="44"/>
      <c r="B66" s="111" t="s">
        <v>127</v>
      </c>
      <c r="C66" s="83"/>
      <c r="D66" s="89" t="s">
        <v>221</v>
      </c>
      <c r="E66" s="44"/>
      <c r="F66" s="44"/>
      <c r="G66" s="44"/>
      <c r="H66" s="44"/>
      <c r="I66" s="44"/>
      <c r="K66" s="136"/>
      <c r="L66" s="136"/>
      <c r="N66" s="136"/>
      <c r="P66" s="60"/>
      <c r="Q66" s="60"/>
      <c r="R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 ht="15">
      <c r="A67" s="44"/>
      <c r="B67" s="111" t="s">
        <v>147</v>
      </c>
      <c r="C67" s="83" t="str">
        <f>IF(D66="gaz ziemny","m3",(IF(D66="energia elektryczna","kWh","kg")))</f>
        <v>kg</v>
      </c>
      <c r="D67" s="89">
        <v>0</v>
      </c>
      <c r="E67" s="58" t="s">
        <v>244</v>
      </c>
      <c r="F67" s="44"/>
      <c r="G67" s="44"/>
      <c r="H67" s="44"/>
      <c r="I67" s="44"/>
      <c r="K67" s="136"/>
      <c r="L67" s="136"/>
      <c r="N67" s="136"/>
      <c r="P67" s="60"/>
      <c r="Q67" s="60"/>
      <c r="R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 ht="15">
      <c r="A68" s="44"/>
      <c r="B68" s="66" t="s">
        <v>128</v>
      </c>
      <c r="C68" s="83" t="str">
        <f>IF(D66="gaz ziemny","kWh/m3",(IF(D66="energia elektryczna"," ","kWh/kg")))</f>
        <v>kWh/kg</v>
      </c>
      <c r="D68" s="137">
        <f>VLOOKUP(D66,'emisje i wskaźniki'!B34:G41,4,FALSE)</f>
        <v>0</v>
      </c>
      <c r="E68" s="44"/>
      <c r="F68" s="44"/>
      <c r="G68" s="44"/>
      <c r="H68" s="44"/>
      <c r="I68" s="44"/>
      <c r="K68" s="136"/>
      <c r="L68" s="136"/>
      <c r="N68" s="136"/>
      <c r="P68" s="60"/>
      <c r="Q68" s="60"/>
      <c r="R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0" ht="15">
      <c r="A69" s="44"/>
      <c r="B69" s="66" t="s">
        <v>356</v>
      </c>
      <c r="C69" s="83"/>
      <c r="D69" s="186">
        <f>VLOOKUP(D65,'emisje i wskaźniki'!B4:D29,2,FALSE)</f>
        <v>0</v>
      </c>
      <c r="E69" s="44"/>
      <c r="F69" s="44"/>
      <c r="G69" s="44"/>
      <c r="H69" s="44"/>
      <c r="I69" s="44"/>
      <c r="K69" s="136"/>
      <c r="L69" s="136"/>
      <c r="N69" s="136"/>
      <c r="P69" s="60"/>
      <c r="Q69" s="60"/>
      <c r="R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1:30" ht="15">
      <c r="A70" s="44"/>
      <c r="B70" s="66" t="s">
        <v>226</v>
      </c>
      <c r="C70" s="83"/>
      <c r="D70" s="143">
        <f>VLOOKUP(D65,'emisje i wskaźniki'!B4:E29,4,FALSE)</f>
        <v>1</v>
      </c>
      <c r="E70" s="44"/>
      <c r="F70" s="44"/>
      <c r="G70" s="44"/>
      <c r="H70" s="44"/>
      <c r="I70" s="44"/>
      <c r="K70" s="136"/>
      <c r="L70" s="136"/>
      <c r="N70" s="136"/>
      <c r="P70" s="60"/>
      <c r="Q70" s="60"/>
      <c r="R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  <row r="71" spans="1:30" ht="30">
      <c r="A71" s="44"/>
      <c r="B71" s="67" t="s">
        <v>159</v>
      </c>
      <c r="C71" s="83" t="s">
        <v>115</v>
      </c>
      <c r="D71" s="139">
        <f>(D67*D68)</f>
        <v>0</v>
      </c>
      <c r="E71" s="44"/>
      <c r="F71" s="44"/>
      <c r="G71" s="44"/>
      <c r="H71" s="44"/>
      <c r="I71" s="44"/>
      <c r="K71" s="136"/>
      <c r="L71" s="136"/>
      <c r="N71" s="136"/>
      <c r="P71" s="60"/>
      <c r="Q71" s="60"/>
      <c r="R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 ht="30">
      <c r="A72" s="44"/>
      <c r="B72" s="67" t="s">
        <v>339</v>
      </c>
      <c r="C72" s="83"/>
      <c r="D72" s="187">
        <f>D71*D69</f>
        <v>0</v>
      </c>
      <c r="E72" s="44"/>
      <c r="F72" s="44"/>
      <c r="G72" s="44"/>
      <c r="H72" s="44"/>
      <c r="I72" s="44"/>
      <c r="K72" s="136"/>
      <c r="L72" s="136"/>
      <c r="N72" s="136"/>
      <c r="P72" s="60"/>
      <c r="Q72" s="60"/>
      <c r="R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1:30" ht="15">
      <c r="A73" s="44"/>
      <c r="B73" s="66" t="s">
        <v>163</v>
      </c>
      <c r="C73" s="83"/>
      <c r="D73" s="142">
        <f>IF(D64="tak",0.9*(D61/D62),D61/D62)*(VLOOKUP(D60,'emisje i wskaźniki'!B4:F29,5,FALSE))+D71*(VLOOKUP(D65,'emisje i wskaźniki'!B4:F29,5,FALSE))</f>
        <v>15827.831871193739</v>
      </c>
      <c r="E73" s="44"/>
      <c r="F73" s="44"/>
      <c r="G73" s="44"/>
      <c r="H73" s="44"/>
      <c r="I73" s="44"/>
      <c r="K73" s="136"/>
      <c r="L73" s="136"/>
      <c r="N73" s="136"/>
      <c r="P73" s="60"/>
      <c r="Q73" s="60"/>
      <c r="R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1:30" ht="30">
      <c r="A74" s="44"/>
      <c r="B74" s="84" t="s">
        <v>185</v>
      </c>
      <c r="C74" s="83" t="s">
        <v>115</v>
      </c>
      <c r="D74" s="144">
        <f>IF(D64="tak",0.9*(D61/D62)+D71,(D61/D62)+D71)</f>
        <v>20266.109950312086</v>
      </c>
      <c r="E74" s="44"/>
      <c r="F74" s="44"/>
      <c r="G74" s="44"/>
      <c r="H74" s="44"/>
      <c r="I74" s="44"/>
      <c r="K74" s="136"/>
      <c r="L74" s="136"/>
      <c r="N74" s="136"/>
      <c r="P74" s="60"/>
      <c r="Q74" s="60"/>
      <c r="R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1:30" ht="18.75">
      <c r="A75" s="44"/>
      <c r="B75" s="104" t="s">
        <v>245</v>
      </c>
      <c r="C75" s="85"/>
      <c r="D75" s="94"/>
      <c r="E75" s="58" t="s">
        <v>337</v>
      </c>
      <c r="F75" s="44"/>
      <c r="G75" s="44"/>
      <c r="H75" s="44"/>
      <c r="I75" s="44"/>
      <c r="K75" s="136"/>
      <c r="L75" s="136"/>
      <c r="N75" s="136"/>
      <c r="P75" s="60"/>
      <c r="Q75" s="60"/>
      <c r="R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1:30" ht="30">
      <c r="A76" s="44"/>
      <c r="B76" s="69" t="s">
        <v>352</v>
      </c>
      <c r="C76" s="83" t="s">
        <v>115</v>
      </c>
      <c r="D76" s="145">
        <f>D31</f>
        <v>1810.856</v>
      </c>
      <c r="E76" s="44"/>
      <c r="F76" s="44"/>
      <c r="G76" s="44"/>
      <c r="H76" s="44"/>
      <c r="I76" s="44"/>
      <c r="K76" s="136"/>
      <c r="L76" s="136"/>
      <c r="N76" s="136"/>
      <c r="P76" s="60"/>
      <c r="Q76" s="60"/>
      <c r="R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ht="15">
      <c r="A77" s="44"/>
      <c r="B77" s="114" t="s">
        <v>155</v>
      </c>
      <c r="C77" s="83"/>
      <c r="D77" s="96" t="s">
        <v>83</v>
      </c>
      <c r="E77" s="58"/>
      <c r="F77" s="44"/>
      <c r="G77" s="44"/>
      <c r="H77" s="44"/>
      <c r="I77" s="44"/>
      <c r="K77" s="136"/>
      <c r="L77" s="136"/>
      <c r="N77" s="136"/>
      <c r="P77" s="60"/>
      <c r="Q77" s="60"/>
      <c r="R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</row>
    <row r="78" spans="1:30" ht="15">
      <c r="A78" s="44"/>
      <c r="B78" s="114" t="s">
        <v>164</v>
      </c>
      <c r="C78" s="83"/>
      <c r="D78" s="96" t="s">
        <v>4</v>
      </c>
      <c r="E78" s="58" t="s">
        <v>249</v>
      </c>
      <c r="F78" s="44"/>
      <c r="G78" s="44"/>
      <c r="H78" s="44"/>
      <c r="I78" s="44"/>
      <c r="K78" s="136"/>
      <c r="L78" s="136"/>
      <c r="N78" s="136"/>
      <c r="P78" s="60"/>
    </row>
    <row r="79" spans="1:30" ht="15">
      <c r="A79" s="44"/>
      <c r="B79" s="114" t="s">
        <v>144</v>
      </c>
      <c r="C79" s="83"/>
      <c r="D79" s="96" t="s">
        <v>165</v>
      </c>
      <c r="E79" s="58" t="s">
        <v>249</v>
      </c>
      <c r="F79" s="44"/>
      <c r="G79" s="44"/>
      <c r="H79" s="44"/>
      <c r="I79" s="44"/>
      <c r="K79" s="136"/>
      <c r="L79" s="136"/>
      <c r="N79" s="136"/>
      <c r="P79" s="60"/>
    </row>
    <row r="80" spans="1:30" ht="30">
      <c r="A80" s="44"/>
      <c r="B80" s="69" t="s">
        <v>353</v>
      </c>
      <c r="C80" s="83" t="s">
        <v>168</v>
      </c>
      <c r="D80" s="140">
        <f>D76/(VLOOKUP(D77,CWU!A33:B52,2,FALSE)*VLOOKUP(D78,CWU!A14:B20,2,FALSE)*VLOOKUP(D79,CWU!A25:B30,2,FALSE))</f>
        <v>1925.418394471026</v>
      </c>
      <c r="E80" s="44"/>
      <c r="F80" s="44"/>
      <c r="G80" s="44"/>
      <c r="H80" s="44"/>
      <c r="I80" s="44"/>
      <c r="K80" s="136"/>
      <c r="L80" s="136"/>
      <c r="N80" s="136"/>
      <c r="P80" s="60"/>
    </row>
    <row r="81" spans="1:16" ht="30">
      <c r="A81" s="44"/>
      <c r="B81" s="69" t="s">
        <v>177</v>
      </c>
      <c r="C81" s="83" t="s">
        <v>173</v>
      </c>
      <c r="D81" s="140">
        <f>D80/12</f>
        <v>160.45153287258549</v>
      </c>
      <c r="E81" s="44"/>
      <c r="F81" s="44"/>
      <c r="G81" s="44"/>
      <c r="H81" s="44"/>
      <c r="I81" s="44"/>
      <c r="K81" s="136"/>
      <c r="L81" s="136"/>
      <c r="N81" s="136"/>
      <c r="P81" s="60"/>
    </row>
    <row r="82" spans="1:16" ht="15">
      <c r="A82" s="44"/>
      <c r="B82" s="114" t="s">
        <v>169</v>
      </c>
      <c r="C82" s="83"/>
      <c r="D82" s="89" t="s">
        <v>235</v>
      </c>
      <c r="E82" s="58" t="s">
        <v>250</v>
      </c>
      <c r="F82" s="44"/>
      <c r="G82" s="44"/>
      <c r="H82" s="44"/>
      <c r="I82" s="44"/>
      <c r="K82" s="136"/>
      <c r="L82" s="136"/>
      <c r="N82" s="136"/>
      <c r="P82" s="60"/>
    </row>
    <row r="83" spans="1:16" ht="15">
      <c r="A83" s="44"/>
      <c r="B83" s="114" t="s">
        <v>170</v>
      </c>
      <c r="C83" s="83" t="s">
        <v>141</v>
      </c>
      <c r="D83" s="89">
        <v>0</v>
      </c>
      <c r="E83" s="44"/>
      <c r="F83" s="44"/>
      <c r="G83" s="44"/>
      <c r="H83" s="44"/>
      <c r="I83" s="44"/>
      <c r="K83" s="136"/>
      <c r="L83" s="136"/>
      <c r="N83" s="136"/>
      <c r="P83" s="60"/>
    </row>
    <row r="84" spans="1:16" ht="30">
      <c r="A84" s="44"/>
      <c r="B84" s="70" t="s">
        <v>171</v>
      </c>
      <c r="C84" s="83" t="s">
        <v>115</v>
      </c>
      <c r="D84" s="140">
        <f>IF(D82="Kolektor płaski",'kolektory słoneczne'!J35,'kolektory słoneczne'!N35)</f>
        <v>0</v>
      </c>
      <c r="E84" s="44"/>
      <c r="F84" s="44"/>
      <c r="G84" s="44"/>
      <c r="H84" s="44"/>
      <c r="I84" s="44"/>
      <c r="K84" s="136"/>
      <c r="L84" s="136"/>
      <c r="N84" s="136"/>
      <c r="P84" s="60"/>
    </row>
    <row r="85" spans="1:16" ht="15">
      <c r="A85" s="44"/>
      <c r="B85" s="66" t="s">
        <v>187</v>
      </c>
      <c r="C85" s="83"/>
      <c r="D85" s="143">
        <f>IF(D77="Brak",0,VLOOKUP(D77,CWU!A34:B52,2,FALSE))</f>
        <v>0.99</v>
      </c>
      <c r="E85" s="44"/>
      <c r="F85" s="44"/>
      <c r="G85" s="44"/>
      <c r="H85" s="44"/>
      <c r="I85" s="44"/>
      <c r="K85" s="136"/>
      <c r="L85" s="136"/>
      <c r="N85" s="136"/>
      <c r="P85" s="60"/>
    </row>
    <row r="86" spans="1:16" ht="15">
      <c r="A86" s="44"/>
      <c r="B86" s="66" t="s">
        <v>166</v>
      </c>
      <c r="C86" s="83"/>
      <c r="D86" s="143">
        <f>VLOOKUP(D77,'emisje i wskaźniki'!B4:E29,4,FALSE)</f>
        <v>3</v>
      </c>
      <c r="E86" s="44"/>
      <c r="F86" s="44"/>
      <c r="G86" s="44"/>
      <c r="H86" s="44"/>
      <c r="I86" s="44"/>
      <c r="K86" s="136"/>
      <c r="L86" s="136"/>
      <c r="N86" s="136"/>
      <c r="P86" s="60"/>
    </row>
    <row r="87" spans="1:16" ht="15">
      <c r="A87" s="44"/>
      <c r="B87" s="66" t="s">
        <v>163</v>
      </c>
      <c r="C87" s="83"/>
      <c r="D87" s="142">
        <f>D88*VLOOKUP(D77,'emisje i wskaźniki'!B4:F29,5,FALSE)</f>
        <v>1503.7517660818714</v>
      </c>
      <c r="E87" s="44"/>
      <c r="F87" s="44"/>
      <c r="G87" s="44"/>
      <c r="H87" s="44"/>
      <c r="I87" s="44"/>
      <c r="K87" s="136"/>
      <c r="L87" s="136"/>
      <c r="N87" s="136"/>
      <c r="P87" s="60"/>
    </row>
    <row r="88" spans="1:16" ht="30">
      <c r="A88" s="44"/>
      <c r="B88" s="71" t="s">
        <v>354</v>
      </c>
      <c r="C88" s="83" t="s">
        <v>115</v>
      </c>
      <c r="D88" s="140">
        <f>D80-D84</f>
        <v>1925.418394471026</v>
      </c>
      <c r="E88" s="44"/>
      <c r="F88" s="44"/>
      <c r="G88" s="44"/>
      <c r="H88" s="44"/>
      <c r="I88" s="44"/>
    </row>
    <row r="89" spans="1:16" ht="18.75">
      <c r="A89" s="44"/>
      <c r="B89" s="68" t="s">
        <v>246</v>
      </c>
      <c r="C89" s="82"/>
      <c r="D89" s="97"/>
      <c r="E89" s="44"/>
      <c r="F89" s="44"/>
      <c r="G89" s="44"/>
      <c r="H89" s="44"/>
      <c r="I89" s="44"/>
    </row>
    <row r="90" spans="1:16" ht="15">
      <c r="A90" s="44"/>
      <c r="B90" s="130" t="s">
        <v>148</v>
      </c>
      <c r="C90" s="83"/>
      <c r="D90" s="148" t="s">
        <v>119</v>
      </c>
      <c r="E90" s="58" t="s">
        <v>242</v>
      </c>
      <c r="F90" s="44"/>
      <c r="G90" s="44"/>
      <c r="H90" s="44"/>
      <c r="I90" s="44"/>
    </row>
    <row r="91" spans="1:16" ht="15">
      <c r="A91" s="44"/>
      <c r="B91" s="130" t="s">
        <v>359</v>
      </c>
      <c r="C91" s="83"/>
      <c r="D91" s="140">
        <f>IF(D90="tak",(IF(OR(D60="Elektrociepłownia (kogeneracja węgiel lub gaz)",D60="Ciepłownia (węgiel kamienny)"),'urządzenia pomocnicze'!D11*D11,IF(OR(D60="Pompa ciepła powietrze/woda",D60="Pompa ciepła woda/woda, glikol/woda lub bezpośrednie odparowanie w gruncie/woda"),(('urządzenia pomocnicze'!D14+'urządzenia pomocnicze'!D15)*D11),(('urządzenia pomocnicze'!D11+'urządzenia pomocnicze'!D12+'urządzenia pomocnicze'!D13)*D11)))),0)</f>
        <v>653.99999999999989</v>
      </c>
      <c r="E91" s="58"/>
      <c r="F91" s="44"/>
      <c r="G91" s="44"/>
      <c r="H91" s="44"/>
      <c r="I91" s="44"/>
    </row>
    <row r="92" spans="1:16" ht="15">
      <c r="A92" s="44"/>
      <c r="B92" s="130" t="s">
        <v>360</v>
      </c>
      <c r="C92" s="83"/>
      <c r="D92" s="140">
        <f>IF(D90="tak",(IF(OR(D77="Elektrociepłownia (kogeneracja węgiel lub gaz)",D77="Ciepłownia (węgiel kamienny)"),'urządzenia pomocnicze'!D24*D11,IF(OR(D77="Pompa ciepła powietrze/woda",D77="Pompa ciepła woda/woda, glikol/woda lub bezpośrednie odparowanie w gruncie/woda"),'urządzenia pomocnicze'!D22*D11,('urządzenia pomocnicze'!D19+'urządzenia pomocnicze'!D20+'urządzenia pomocnicze'!D21)*D11))),0)+(IF(D83&gt;0,'urządzenia pomocnicze'!D25*obliczenia!D11,0))</f>
        <v>363.09999999999997</v>
      </c>
      <c r="E92" s="58"/>
      <c r="F92" s="44"/>
      <c r="G92" s="44"/>
      <c r="H92" s="44"/>
      <c r="I92" s="44"/>
    </row>
    <row r="93" spans="1:16" ht="15">
      <c r="A93" s="44"/>
      <c r="B93" s="71" t="s">
        <v>152</v>
      </c>
      <c r="C93" s="83" t="s">
        <v>115</v>
      </c>
      <c r="D93" s="140">
        <f>D91+D92</f>
        <v>1017.0999999999999</v>
      </c>
      <c r="E93" s="58"/>
      <c r="F93" s="44"/>
      <c r="G93" s="44"/>
      <c r="H93" s="44"/>
      <c r="I93" s="44"/>
    </row>
    <row r="94" spans="1:16" ht="18.75">
      <c r="A94" s="44"/>
      <c r="B94" s="68" t="s">
        <v>247</v>
      </c>
      <c r="C94" s="82"/>
      <c r="D94" s="97"/>
      <c r="E94" s="44"/>
      <c r="F94" s="44"/>
      <c r="G94" s="44"/>
      <c r="H94" s="44"/>
      <c r="I94" s="44"/>
    </row>
    <row r="95" spans="1:16" ht="15">
      <c r="A95" s="44"/>
      <c r="B95" s="114" t="s">
        <v>179</v>
      </c>
      <c r="C95" s="83" t="s">
        <v>180</v>
      </c>
      <c r="D95" s="89">
        <v>25</v>
      </c>
      <c r="E95" s="44"/>
      <c r="F95" s="44"/>
      <c r="G95" s="44"/>
      <c r="H95" s="44"/>
      <c r="I95" s="44"/>
    </row>
    <row r="96" spans="1:16" ht="15">
      <c r="A96" s="44"/>
      <c r="B96" s="70" t="s">
        <v>191</v>
      </c>
      <c r="C96" s="83" t="s">
        <v>140</v>
      </c>
      <c r="D96" s="138">
        <f>D97*0.781</f>
        <v>17494.400000000001</v>
      </c>
      <c r="E96" s="44"/>
      <c r="F96" s="44"/>
      <c r="G96" s="44"/>
      <c r="H96" s="44"/>
      <c r="I96" s="44"/>
    </row>
    <row r="97" spans="1:9" ht="15">
      <c r="A97" s="44"/>
      <c r="B97" s="72" t="s">
        <v>182</v>
      </c>
      <c r="C97" s="83" t="s">
        <v>168</v>
      </c>
      <c r="D97" s="138">
        <f>IF(OR(D60=J30,D60=J32,D60=J33,D60=J34),IF(D66="energia elektryczna",IF(OR(D77="Elektryczny podgrzewacz akumulacyjny",D77="Elektryczny podgrzewacz przepływowy"),IF(D95*896&gt;(D74-D71)+D71+D88+D93,(D74-D71)+D71+D88+D93,D95*896),IF(D95*896&gt;(D74-D71)+D71+D93,(D74-D71)+D71+D93,D95*896)),IF(OR(D77="Elektryczny podgrzewacz akumulacyjny",D77="Elektryczny podgrzewacz przepływowy"),IF(D95*896&gt;(D74-D71)+D88+D93,(D74-D71)+D88+D93,D95*896),IF(D95*896&gt;(D74-D71)+D93,(D74-D71)+D93,D95*896))),IF(D66="energia elektryczna",IF(OR(D77="Elektryczny podgrzewacz akumulacyjny",D77="Elektryczny podgrzewacz przepływowy"),IF(D95*896&gt;D71+D88+D93,D71+D88+D93,D95*896),IF(D95*896&gt;D71+D93,D71+D93,D95*896)),IF(OR(D77="Elektryczny podgrzewacz akumulacyjny",D77="Elektryczny podgrzewacz przepływowy"),IF(D95*896&gt;D88+D93,D88+D93,D95*896),IF(D95*896&gt;D93,D93,D95*896))))</f>
        <v>22400</v>
      </c>
      <c r="E97" s="44"/>
      <c r="F97" s="44"/>
      <c r="G97" s="44"/>
      <c r="H97" s="44"/>
      <c r="I97" s="44"/>
    </row>
    <row r="98" spans="1:9" ht="18.75">
      <c r="A98" s="106"/>
      <c r="B98" s="68" t="s">
        <v>248</v>
      </c>
      <c r="C98" s="82"/>
      <c r="D98" s="97"/>
      <c r="E98" s="44"/>
      <c r="F98" s="44"/>
      <c r="G98" s="44"/>
      <c r="H98" s="44"/>
      <c r="I98" s="44"/>
    </row>
    <row r="99" spans="1:9" ht="15">
      <c r="A99" s="106"/>
      <c r="B99" s="72" t="s">
        <v>153</v>
      </c>
      <c r="C99" s="83" t="s">
        <v>115</v>
      </c>
      <c r="D99" s="140">
        <f>D74+D88+D93</f>
        <v>23208.628344783112</v>
      </c>
      <c r="E99" s="44"/>
      <c r="F99" s="44"/>
      <c r="G99" s="44"/>
      <c r="H99" s="44"/>
      <c r="I99" s="44"/>
    </row>
    <row r="100" spans="1:9" ht="17.25">
      <c r="A100" s="106"/>
      <c r="B100" s="79" t="s">
        <v>161</v>
      </c>
      <c r="C100" s="83" t="s">
        <v>112</v>
      </c>
      <c r="D100" s="140">
        <f>(D74+D88+D93)/D11</f>
        <v>116.04314172391555</v>
      </c>
      <c r="F100" s="44"/>
      <c r="G100" s="44"/>
      <c r="H100" s="44"/>
      <c r="I100" s="44"/>
    </row>
    <row r="101" spans="1:9" ht="17.25">
      <c r="A101" s="44"/>
      <c r="B101" s="80" t="s">
        <v>162</v>
      </c>
      <c r="C101" s="83" t="s">
        <v>112</v>
      </c>
      <c r="D101" s="140">
        <f>((IF(D64="tak",0.9*(D61/D62),D61/D62)*D63)+(D71*D70)+(D88*D86)+(D93*3)-(D97*3))/D11</f>
        <v>12.129425171746698</v>
      </c>
      <c r="E101" s="44"/>
      <c r="F101" s="44"/>
      <c r="G101" s="44"/>
      <c r="H101" s="44"/>
      <c r="I101" s="44"/>
    </row>
    <row r="102" spans="1:9" ht="18" thickBot="1">
      <c r="A102" s="44"/>
      <c r="B102" s="80" t="s">
        <v>176</v>
      </c>
      <c r="C102" s="83" t="s">
        <v>112</v>
      </c>
      <c r="D102" s="140">
        <f>(D61+D72+D76+D93)/D11</f>
        <v>115.57166030131198</v>
      </c>
      <c r="F102" s="44"/>
      <c r="G102" s="44"/>
      <c r="H102" s="44"/>
      <c r="I102" s="44"/>
    </row>
    <row r="103" spans="1:9" ht="18.75" thickBot="1">
      <c r="A103" s="44"/>
      <c r="B103" s="98" t="s">
        <v>163</v>
      </c>
      <c r="C103" s="83" t="s">
        <v>140</v>
      </c>
      <c r="D103" s="138">
        <f>D73+D87+D93*0.781-D97*0.781</f>
        <v>631.53873727560858</v>
      </c>
      <c r="E103" s="198" t="s">
        <v>361</v>
      </c>
      <c r="F103" s="204">
        <f>D103/1000</f>
        <v>0.63153873727560861</v>
      </c>
      <c r="G103" s="44"/>
      <c r="H103" s="44"/>
      <c r="I103" s="44"/>
    </row>
    <row r="104" spans="1:9" ht="18.75" thickBot="1">
      <c r="A104" s="44"/>
      <c r="B104" s="98" t="s">
        <v>188</v>
      </c>
      <c r="C104" s="83" t="s">
        <v>140</v>
      </c>
      <c r="D104" s="146">
        <f>D54-D103</f>
        <v>10105.823593794525</v>
      </c>
      <c r="E104" s="202" t="s">
        <v>361</v>
      </c>
      <c r="F104" s="205">
        <f>D104/1000</f>
        <v>10.105823593794524</v>
      </c>
      <c r="G104" s="44"/>
      <c r="H104" s="44"/>
      <c r="I104" s="44"/>
    </row>
    <row r="105" spans="1:9" ht="15.75" thickBot="1">
      <c r="A105" s="44"/>
      <c r="B105" s="105" t="s">
        <v>188</v>
      </c>
      <c r="C105" s="83" t="s">
        <v>130</v>
      </c>
      <c r="D105" s="140">
        <f>D104*100/D54</f>
        <v>94.118306546774903</v>
      </c>
      <c r="E105" s="44"/>
      <c r="F105" s="44"/>
      <c r="G105" s="44"/>
      <c r="H105" s="44"/>
      <c r="I105" s="44"/>
    </row>
    <row r="106" spans="1:9" ht="15">
      <c r="A106" s="44"/>
      <c r="B106" s="98" t="s">
        <v>194</v>
      </c>
      <c r="C106" s="83" t="s">
        <v>199</v>
      </c>
      <c r="D106" s="145">
        <f>(VLOOKUP(D60,'emisje i wskaźniki'!B4:H29,6,FALSE)*D61)+(VLOOKUP(D65,'emisje i wskaźniki'!B4:H29,6,FALSE)*D71)+(VLOOKUP(D77,'emisje i wskaźniki'!B4:H29,6,FALSE)*D88)</f>
        <v>0</v>
      </c>
      <c r="E106" s="198" t="s">
        <v>362</v>
      </c>
      <c r="F106" s="199">
        <f>D106/1000000</f>
        <v>0</v>
      </c>
      <c r="G106" s="44"/>
      <c r="H106" s="44"/>
      <c r="I106" s="44"/>
    </row>
    <row r="107" spans="1:9" ht="15.75" thickBot="1">
      <c r="A107" s="44"/>
      <c r="B107" s="78" t="s">
        <v>197</v>
      </c>
      <c r="C107" s="83" t="s">
        <v>199</v>
      </c>
      <c r="D107" s="145">
        <f>(VLOOKUP(D60,'emisje i wskaźniki'!B4:H29,7,FALSE)*D61)+(VLOOKUP(D65,'emisje i wskaźniki'!B4:H29,7,FALSE)*D71)+(VLOOKUP(D77,'emisje i wskaźniki'!B4:H29,7,FALSE)*D88)</f>
        <v>0</v>
      </c>
      <c r="E107" s="202" t="s">
        <v>362</v>
      </c>
      <c r="F107" s="203">
        <f>D107/1000000</f>
        <v>0</v>
      </c>
      <c r="G107" s="44"/>
      <c r="H107" s="44"/>
      <c r="I107" s="44"/>
    </row>
    <row r="108" spans="1:9" ht="15">
      <c r="A108" s="44"/>
      <c r="B108" s="98" t="s">
        <v>202</v>
      </c>
      <c r="C108" s="83" t="s">
        <v>130</v>
      </c>
      <c r="D108" s="145">
        <f>(D55-D106)*100/D55</f>
        <v>100</v>
      </c>
      <c r="E108" s="44"/>
      <c r="F108" s="44"/>
      <c r="G108" s="44"/>
      <c r="H108" s="44"/>
      <c r="I108" s="44"/>
    </row>
    <row r="109" spans="1:9" ht="15.75" thickBot="1">
      <c r="A109" s="44"/>
      <c r="B109" s="78" t="s">
        <v>203</v>
      </c>
      <c r="C109" s="90" t="s">
        <v>130</v>
      </c>
      <c r="D109" s="140">
        <f>(D56-D107)*100/D56</f>
        <v>100</v>
      </c>
      <c r="E109" s="44"/>
      <c r="F109" s="44"/>
      <c r="G109" s="44"/>
      <c r="H109" s="44"/>
      <c r="I109" s="44"/>
    </row>
    <row r="110" spans="1:9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>
      <c r="A111" s="44"/>
      <c r="B111" s="44"/>
      <c r="C111" s="44"/>
      <c r="D111" s="44"/>
      <c r="E111" s="44"/>
      <c r="F111" s="44"/>
      <c r="G111" s="44"/>
      <c r="H111" s="44"/>
      <c r="I111" s="44"/>
    </row>
  </sheetData>
  <sheetProtection password="CBCD" sheet="1" objects="1" scenarios="1" selectLockedCells="1"/>
  <mergeCells count="1">
    <mergeCell ref="E60:G60"/>
  </mergeCells>
  <dataValidations count="13">
    <dataValidation type="list" allowBlank="1" showInputMessage="1" showErrorMessage="1" prompt="Wybór z listy rozwijalnej" sqref="D79 D35">
      <formula1>$O$28:$O$33</formula1>
    </dataValidation>
    <dataValidation type="list" allowBlank="1" showInputMessage="1" showErrorMessage="1" prompt="Wybór z listy rozwijalnej" sqref="D78 D34">
      <formula1>$L$27:$L$33</formula1>
    </dataValidation>
    <dataValidation type="list" allowBlank="1" showInputMessage="1" showErrorMessage="1" prompt="Wybór z listy rozwijalnej" sqref="D82 D38">
      <formula1>$L$37:$L$39</formula1>
    </dataValidation>
    <dataValidation type="list" allowBlank="1" showInputMessage="1" showErrorMessage="1" prompt="Wybór z listy rozwijalnej" sqref="D8:D10 D90 D43 D64">
      <formula1>$A$8:$A$9</formula1>
    </dataValidation>
    <dataValidation type="list" allowBlank="1" showInputMessage="1" showErrorMessage="1" prompt="Wybór z listy rozwijalnej" sqref="D77">
      <formula1>$J$33:$J$48</formula1>
    </dataValidation>
    <dataValidation type="list" allowBlank="1" showInputMessage="1" showErrorMessage="1" prompt="Wybór z listy rozwijalnej" sqref="D66">
      <formula1>$L$19:$L$24</formula1>
    </dataValidation>
    <dataValidation type="list" allowBlank="1" showInputMessage="1" showErrorMessage="1" prompt="Wybór z listy rozwijalnej" sqref="D65">
      <formula1>$J$21:$J$30</formula1>
    </dataValidation>
    <dataValidation type="list" allowBlank="1" showInputMessage="1" showErrorMessage="1" prompt="Wybór z listy rozwijalnej" sqref="D60">
      <formula1>$J$30:$J$40</formula1>
    </dataValidation>
    <dataValidation type="list" allowBlank="1" showInputMessage="1" showErrorMessage="1" prompt="Wybór z listy rozwijalnej" sqref="D32">
      <formula1>$J$37:$J$49</formula1>
    </dataValidation>
    <dataValidation type="list" allowBlank="1" showInputMessage="1" showErrorMessage="1" prompt="Wybór z listy rozwijalnej" sqref="D15">
      <formula1>$J$17:$J$21</formula1>
    </dataValidation>
    <dataValidation type="list" allowBlank="1" showInputMessage="1" showErrorMessage="1" prompt="Wybór z listy rozwijalnej" sqref="D20 D16">
      <formula1>$L$17:$L$19</formula1>
    </dataValidation>
    <dataValidation type="list" allowBlank="1" showInputMessage="1" showErrorMessage="1" prompt="Wybór z listy rozwijalnej" sqref="D25">
      <formula1>$L$17:$L$24</formula1>
    </dataValidation>
    <dataValidation type="list" allowBlank="1" showInputMessage="1" showErrorMessage="1" prompt="Wybór z listy rozwijalnej" sqref="D24">
      <formula1>$J$17:$J$31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A14" sqref="A14"/>
    </sheetView>
  </sheetViews>
  <sheetFormatPr defaultRowHeight="14.25"/>
  <cols>
    <col min="1" max="1" width="48.25" customWidth="1"/>
    <col min="2" max="2" width="18.375" customWidth="1"/>
    <col min="3" max="3" width="10.125" customWidth="1"/>
    <col min="4" max="4" width="35.5" customWidth="1"/>
    <col min="5" max="5" width="12.625" customWidth="1"/>
    <col min="6" max="6" width="12.25" customWidth="1"/>
  </cols>
  <sheetData>
    <row r="1" spans="1:3" ht="15">
      <c r="A1" s="60" t="s">
        <v>0</v>
      </c>
      <c r="B1" s="60"/>
      <c r="C1" s="60"/>
    </row>
    <row r="2" spans="1:3" ht="18" customHeight="1">
      <c r="A2" s="118" t="s">
        <v>287</v>
      </c>
      <c r="B2" s="60"/>
      <c r="C2" s="60"/>
    </row>
    <row r="3" spans="1:3" ht="18" customHeight="1">
      <c r="A3" s="150" t="s">
        <v>288</v>
      </c>
      <c r="B3" s="60"/>
      <c r="C3" s="60"/>
    </row>
    <row r="4" spans="1:3" ht="15">
      <c r="A4" s="60" t="s">
        <v>281</v>
      </c>
      <c r="B4" s="60" t="s">
        <v>282</v>
      </c>
      <c r="C4" s="60"/>
    </row>
    <row r="5" spans="1:3" ht="15">
      <c r="A5" s="16" t="s">
        <v>283</v>
      </c>
      <c r="B5" s="60"/>
      <c r="C5" s="16"/>
    </row>
    <row r="6" spans="1:3" ht="15">
      <c r="A6" s="60"/>
      <c r="B6" s="60"/>
      <c r="C6" s="16"/>
    </row>
    <row r="7" spans="1:3" ht="15">
      <c r="A7" s="16" t="s">
        <v>14</v>
      </c>
      <c r="B7" s="60"/>
      <c r="C7" s="16"/>
    </row>
    <row r="8" spans="1:3" ht="15">
      <c r="A8" s="60" t="s">
        <v>15</v>
      </c>
      <c r="B8" s="60"/>
      <c r="C8" s="16"/>
    </row>
    <row r="9" spans="1:3" ht="15">
      <c r="A9" s="16" t="s">
        <v>9</v>
      </c>
      <c r="B9" s="60"/>
      <c r="C9" s="60"/>
    </row>
    <row r="10" spans="1:3" ht="15">
      <c r="A10" s="60" t="s">
        <v>13</v>
      </c>
      <c r="B10" s="60"/>
      <c r="C10" s="60"/>
    </row>
    <row r="11" spans="1:3" ht="15">
      <c r="A11" s="16"/>
      <c r="B11" s="60"/>
      <c r="C11" s="60"/>
    </row>
    <row r="12" spans="1:3" ht="15">
      <c r="A12" s="60" t="s">
        <v>1</v>
      </c>
      <c r="B12" s="60"/>
      <c r="C12" s="60"/>
    </row>
    <row r="13" spans="1:3" ht="15">
      <c r="A13" s="61" t="s">
        <v>2</v>
      </c>
      <c r="B13" s="61" t="s">
        <v>3</v>
      </c>
      <c r="C13" s="60"/>
    </row>
    <row r="14" spans="1:3" ht="30">
      <c r="A14" s="115" t="s">
        <v>73</v>
      </c>
      <c r="B14" s="152">
        <v>1</v>
      </c>
      <c r="C14" s="60"/>
    </row>
    <row r="15" spans="1:3" ht="15">
      <c r="A15" s="116" t="s">
        <v>4</v>
      </c>
      <c r="B15" s="152">
        <v>0.95</v>
      </c>
      <c r="C15" s="60"/>
    </row>
    <row r="16" spans="1:3" ht="15">
      <c r="A16" s="116" t="s">
        <v>5</v>
      </c>
      <c r="B16" s="152">
        <v>0.85</v>
      </c>
      <c r="C16" s="60"/>
    </row>
    <row r="17" spans="1:3" ht="15">
      <c r="A17" s="116" t="s">
        <v>6</v>
      </c>
      <c r="B17" s="152">
        <v>0.6</v>
      </c>
      <c r="C17" s="60"/>
    </row>
    <row r="18" spans="1:3" ht="15">
      <c r="A18" s="116" t="s">
        <v>7</v>
      </c>
      <c r="B18" s="152">
        <v>0.7</v>
      </c>
      <c r="C18" s="60"/>
    </row>
    <row r="19" spans="1:3" ht="15">
      <c r="A19" s="116" t="s">
        <v>8</v>
      </c>
      <c r="B19" s="152">
        <v>0.5</v>
      </c>
      <c r="C19" s="60"/>
    </row>
    <row r="20" spans="1:3" ht="30">
      <c r="A20" s="117" t="s">
        <v>74</v>
      </c>
      <c r="B20" s="152">
        <v>0.85</v>
      </c>
      <c r="C20" s="60"/>
    </row>
    <row r="21" spans="1:3" ht="15">
      <c r="A21" s="120"/>
      <c r="B21" s="121"/>
      <c r="C21" s="60"/>
    </row>
    <row r="22" spans="1:3" ht="15">
      <c r="A22" s="60"/>
      <c r="B22" s="60"/>
      <c r="C22" s="60"/>
    </row>
    <row r="23" spans="1:3" ht="15">
      <c r="A23" s="60" t="s">
        <v>72</v>
      </c>
      <c r="B23" s="60"/>
      <c r="C23" s="60"/>
    </row>
    <row r="24" spans="1:3" ht="15">
      <c r="A24" s="61" t="s">
        <v>10</v>
      </c>
      <c r="B24" s="61" t="s">
        <v>11</v>
      </c>
      <c r="C24" s="60"/>
    </row>
    <row r="25" spans="1:3" ht="15">
      <c r="A25" s="116" t="s">
        <v>165</v>
      </c>
      <c r="B25" s="152">
        <v>1</v>
      </c>
      <c r="C25" s="60"/>
    </row>
    <row r="26" spans="1:3" ht="15">
      <c r="A26" s="116" t="s">
        <v>12</v>
      </c>
      <c r="B26" s="152">
        <v>1</v>
      </c>
      <c r="C26" s="60"/>
    </row>
    <row r="27" spans="1:3" ht="15">
      <c r="A27" s="116" t="s">
        <v>312</v>
      </c>
      <c r="B27" s="152">
        <v>0.85</v>
      </c>
      <c r="C27" s="60"/>
    </row>
    <row r="28" spans="1:3" ht="15">
      <c r="A28" s="116" t="s">
        <v>314</v>
      </c>
      <c r="B28" s="152">
        <v>0.8</v>
      </c>
      <c r="C28" s="60"/>
    </row>
    <row r="29" spans="1:3" ht="15">
      <c r="A29" s="116" t="s">
        <v>313</v>
      </c>
      <c r="B29" s="152">
        <v>0.65</v>
      </c>
      <c r="C29" s="60"/>
    </row>
    <row r="30" spans="1:3" ht="15">
      <c r="A30" s="116" t="s">
        <v>315</v>
      </c>
      <c r="B30" s="152">
        <v>0.6</v>
      </c>
      <c r="C30" s="60"/>
    </row>
    <row r="31" spans="1:3" ht="15">
      <c r="A31" s="60"/>
      <c r="B31" s="60"/>
      <c r="C31" s="60"/>
    </row>
    <row r="32" spans="1:3" ht="15">
      <c r="A32" s="60" t="s">
        <v>75</v>
      </c>
      <c r="B32" s="60"/>
      <c r="C32" s="60"/>
    </row>
    <row r="33" spans="1:4" ht="15">
      <c r="A33" s="61" t="s">
        <v>16</v>
      </c>
      <c r="B33" s="61" t="s">
        <v>76</v>
      </c>
      <c r="C33" s="60"/>
    </row>
    <row r="34" spans="1:4" ht="15">
      <c r="A34" s="116" t="s">
        <v>321</v>
      </c>
      <c r="B34" s="151">
        <v>0.8</v>
      </c>
      <c r="C34" s="60"/>
    </row>
    <row r="35" spans="1:4" ht="15">
      <c r="A35" s="116" t="s">
        <v>320</v>
      </c>
      <c r="B35" s="151">
        <v>0.75</v>
      </c>
      <c r="C35" s="60"/>
    </row>
    <row r="36" spans="1:4" ht="15">
      <c r="A36" s="116" t="s">
        <v>61</v>
      </c>
      <c r="B36" s="151">
        <v>0.98</v>
      </c>
      <c r="C36" s="60"/>
      <c r="D36" s="60" t="s">
        <v>336</v>
      </c>
    </row>
    <row r="37" spans="1:4" ht="15">
      <c r="A37" s="116" t="s">
        <v>60</v>
      </c>
      <c r="B37" s="151">
        <v>0.98</v>
      </c>
      <c r="C37" s="60"/>
      <c r="D37" s="60" t="s">
        <v>336</v>
      </c>
    </row>
    <row r="38" spans="1:4" ht="15">
      <c r="A38" s="116" t="s">
        <v>308</v>
      </c>
      <c r="B38" s="151">
        <v>0.4</v>
      </c>
      <c r="C38" s="60"/>
    </row>
    <row r="39" spans="1:4" ht="30">
      <c r="A39" s="117" t="s">
        <v>318</v>
      </c>
      <c r="B39" s="151">
        <v>0.65</v>
      </c>
      <c r="C39" s="60"/>
    </row>
    <row r="40" spans="1:4" ht="15">
      <c r="A40" s="116" t="s">
        <v>227</v>
      </c>
      <c r="B40" s="151">
        <v>0.65</v>
      </c>
      <c r="C40" s="60"/>
    </row>
    <row r="41" spans="1:4" ht="15">
      <c r="A41" s="116" t="s">
        <v>121</v>
      </c>
      <c r="B41" s="151">
        <v>0.83</v>
      </c>
      <c r="C41" s="60"/>
    </row>
    <row r="42" spans="1:4" ht="15">
      <c r="A42" s="116" t="s">
        <v>122</v>
      </c>
      <c r="B42" s="151">
        <v>0.85</v>
      </c>
      <c r="C42" s="60"/>
    </row>
    <row r="43" spans="1:4" ht="15">
      <c r="A43" s="116" t="s">
        <v>17</v>
      </c>
      <c r="B43" s="151">
        <v>0.83</v>
      </c>
      <c r="C43" s="60"/>
    </row>
    <row r="44" spans="1:4" ht="15">
      <c r="A44" s="116" t="s">
        <v>18</v>
      </c>
      <c r="B44" s="151">
        <v>0.85</v>
      </c>
      <c r="C44" s="60"/>
    </row>
    <row r="45" spans="1:4" ht="15">
      <c r="A45" s="116" t="s">
        <v>19</v>
      </c>
      <c r="B45" s="151">
        <v>0.85</v>
      </c>
      <c r="C45" s="60"/>
    </row>
    <row r="46" spans="1:4" ht="15">
      <c r="A46" s="116" t="s">
        <v>20</v>
      </c>
      <c r="B46" s="151">
        <v>0.5</v>
      </c>
      <c r="C46" s="60"/>
    </row>
    <row r="47" spans="1:4" ht="15">
      <c r="A47" s="116" t="s">
        <v>21</v>
      </c>
      <c r="B47" s="151">
        <v>0.83</v>
      </c>
      <c r="C47" s="60"/>
    </row>
    <row r="48" spans="1:4" ht="15">
      <c r="A48" s="116" t="s">
        <v>82</v>
      </c>
      <c r="B48" s="151">
        <v>0.96</v>
      </c>
      <c r="C48" s="60"/>
    </row>
    <row r="49" spans="1:4" ht="15">
      <c r="A49" s="116" t="s">
        <v>83</v>
      </c>
      <c r="B49" s="151">
        <v>0.99</v>
      </c>
      <c r="C49" s="60"/>
    </row>
    <row r="50" spans="1:4" ht="15">
      <c r="A50" s="116" t="s">
        <v>326</v>
      </c>
      <c r="B50" s="151">
        <v>3</v>
      </c>
      <c r="C50" s="60"/>
      <c r="D50" s="60" t="s">
        <v>335</v>
      </c>
    </row>
    <row r="51" spans="1:4" ht="15">
      <c r="A51" s="116" t="s">
        <v>325</v>
      </c>
      <c r="B51" s="151">
        <v>2.6</v>
      </c>
      <c r="C51" s="60"/>
      <c r="D51" s="60" t="s">
        <v>335</v>
      </c>
    </row>
    <row r="52" spans="1:4" ht="15">
      <c r="A52" s="74" t="s">
        <v>235</v>
      </c>
      <c r="B52" s="2">
        <v>1</v>
      </c>
      <c r="C52" s="60"/>
    </row>
    <row r="53" spans="1:4" ht="15">
      <c r="A53" s="60"/>
      <c r="B53" s="60" t="s">
        <v>77</v>
      </c>
      <c r="C53" s="60"/>
    </row>
    <row r="54" spans="1:4" ht="30">
      <c r="A54" s="118" t="s">
        <v>78</v>
      </c>
      <c r="B54" s="60">
        <v>40</v>
      </c>
      <c r="D54" s="156"/>
    </row>
    <row r="55" spans="1:4" ht="15">
      <c r="A55" s="60" t="s">
        <v>79</v>
      </c>
      <c r="B55" s="60">
        <v>65</v>
      </c>
      <c r="D55" s="156"/>
    </row>
    <row r="56" spans="1:4" ht="15">
      <c r="A56" s="60" t="s">
        <v>80</v>
      </c>
      <c r="B56" s="60">
        <v>83</v>
      </c>
      <c r="D56" s="156"/>
    </row>
    <row r="57" spans="1:4" ht="30">
      <c r="A57" s="118" t="s">
        <v>81</v>
      </c>
      <c r="B57" s="60">
        <v>85</v>
      </c>
      <c r="D57" s="156"/>
    </row>
    <row r="58" spans="1:4" ht="15">
      <c r="A58" s="60"/>
      <c r="B58" s="60"/>
      <c r="D58" s="156"/>
    </row>
    <row r="59" spans="1:4" ht="45">
      <c r="A59" s="118" t="s">
        <v>84</v>
      </c>
      <c r="B59" s="60">
        <v>300</v>
      </c>
    </row>
    <row r="60" spans="1:4" ht="30">
      <c r="A60" s="118" t="s">
        <v>253</v>
      </c>
      <c r="B60" s="60">
        <v>260</v>
      </c>
      <c r="D60" s="60"/>
    </row>
    <row r="61" spans="1:4" ht="15">
      <c r="A61" s="60" t="s">
        <v>85</v>
      </c>
      <c r="B61" s="60">
        <v>120</v>
      </c>
      <c r="D61" s="60"/>
    </row>
    <row r="62" spans="1:4" ht="15">
      <c r="A62" s="60" t="s">
        <v>86</v>
      </c>
      <c r="B62" s="60">
        <v>130</v>
      </c>
      <c r="D62" s="60"/>
    </row>
  </sheetData>
  <sheetProtection password="CBCD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1"/>
  <sheetViews>
    <sheetView workbookViewId="0">
      <selection activeCell="M31" sqref="M31"/>
    </sheetView>
  </sheetViews>
  <sheetFormatPr defaultRowHeight="14.25"/>
  <cols>
    <col min="1" max="1" width="13.5" customWidth="1"/>
    <col min="2" max="2" width="13.875" customWidth="1"/>
    <col min="3" max="3" width="9.5" bestFit="1" customWidth="1"/>
    <col min="5" max="5" width="13.125" customWidth="1"/>
    <col min="11" max="11" width="16.75" customWidth="1"/>
  </cols>
  <sheetData>
    <row r="1" spans="1:23" ht="19.5" thickBot="1">
      <c r="A1" t="s">
        <v>26</v>
      </c>
      <c r="B1" t="s">
        <v>27</v>
      </c>
      <c r="C1" t="s">
        <v>28</v>
      </c>
      <c r="K1" s="13" t="s">
        <v>87</v>
      </c>
      <c r="L1" s="14"/>
      <c r="M1" s="14"/>
      <c r="U1" s="47">
        <v>1</v>
      </c>
      <c r="V1" s="47" t="s">
        <v>107</v>
      </c>
      <c r="W1" s="48">
        <v>0.03</v>
      </c>
    </row>
    <row r="2" spans="1:23" ht="18.75" thickTop="1" thickBot="1">
      <c r="A2" t="s">
        <v>38</v>
      </c>
      <c r="C2" s="3">
        <v>240</v>
      </c>
      <c r="D2" t="s">
        <v>31</v>
      </c>
      <c r="E2" t="s">
        <v>39</v>
      </c>
      <c r="K2" s="15"/>
      <c r="L2" s="14"/>
      <c r="M2" s="14"/>
      <c r="N2" s="49"/>
      <c r="O2" s="49"/>
      <c r="P2" s="49"/>
      <c r="Q2" s="49"/>
      <c r="R2" s="49"/>
      <c r="S2" s="49"/>
      <c r="T2" s="49"/>
      <c r="U2" s="47">
        <v>2</v>
      </c>
      <c r="V2" s="47" t="s">
        <v>108</v>
      </c>
      <c r="W2" s="48">
        <v>0.08</v>
      </c>
    </row>
    <row r="3" spans="1:23" ht="16.5" thickTop="1" thickBot="1">
      <c r="A3" t="s">
        <v>37</v>
      </c>
      <c r="C3" s="3">
        <v>800</v>
      </c>
      <c r="D3" t="s">
        <v>31</v>
      </c>
      <c r="K3" s="16"/>
      <c r="L3" s="14"/>
      <c r="M3" s="14"/>
      <c r="N3" s="49"/>
      <c r="O3" s="49"/>
      <c r="P3" s="49"/>
      <c r="Q3" s="49"/>
      <c r="R3" s="49"/>
      <c r="S3" s="49"/>
      <c r="T3" s="49"/>
      <c r="U3" s="47">
        <v>3</v>
      </c>
      <c r="V3" s="47" t="s">
        <v>109</v>
      </c>
      <c r="W3" s="48">
        <v>0.08</v>
      </c>
    </row>
    <row r="4" spans="1:23" ht="19.5" thickBot="1">
      <c r="A4" t="s">
        <v>62</v>
      </c>
      <c r="C4" s="3">
        <v>950</v>
      </c>
      <c r="D4" t="s">
        <v>31</v>
      </c>
      <c r="K4" s="17" t="s">
        <v>88</v>
      </c>
      <c r="L4" s="18" t="s">
        <v>89</v>
      </c>
      <c r="M4" s="18" t="s">
        <v>90</v>
      </c>
      <c r="N4" s="50">
        <v>35</v>
      </c>
      <c r="O4" s="50">
        <v>40</v>
      </c>
      <c r="P4" s="50">
        <v>45</v>
      </c>
      <c r="Q4" s="50">
        <v>50</v>
      </c>
      <c r="R4" s="50">
        <v>55</v>
      </c>
      <c r="S4" s="49"/>
      <c r="T4" s="49"/>
      <c r="U4" s="47">
        <v>4</v>
      </c>
      <c r="V4" s="47" t="s">
        <v>110</v>
      </c>
      <c r="W4" s="48">
        <v>0.03</v>
      </c>
    </row>
    <row r="5" spans="1:23" ht="15.75" thickBot="1">
      <c r="A5" t="s">
        <v>30</v>
      </c>
      <c r="C5" s="3">
        <v>750</v>
      </c>
      <c r="D5" t="s">
        <v>31</v>
      </c>
      <c r="K5" s="19" t="s">
        <v>91</v>
      </c>
      <c r="L5" s="20">
        <v>125</v>
      </c>
      <c r="M5" s="20">
        <v>167</v>
      </c>
      <c r="N5" s="51">
        <f>M5</f>
        <v>167</v>
      </c>
      <c r="O5" s="51"/>
      <c r="P5" s="51"/>
      <c r="Q5" s="51"/>
      <c r="R5" s="51" t="s">
        <v>105</v>
      </c>
      <c r="S5" s="49"/>
      <c r="T5" s="49"/>
      <c r="U5" s="49"/>
      <c r="V5" s="49"/>
    </row>
    <row r="6" spans="1:23" ht="15.75" thickBot="1">
      <c r="A6" t="s">
        <v>25</v>
      </c>
      <c r="B6" s="3">
        <v>0.12</v>
      </c>
      <c r="C6" s="3">
        <v>1.3</v>
      </c>
      <c r="D6" t="s">
        <v>33</v>
      </c>
      <c r="E6" s="11" t="s">
        <v>29</v>
      </c>
      <c r="K6" s="21" t="s">
        <v>92</v>
      </c>
      <c r="L6" s="22">
        <v>110</v>
      </c>
      <c r="M6" s="22">
        <v>150</v>
      </c>
      <c r="N6" s="51">
        <f>M6</f>
        <v>150</v>
      </c>
      <c r="O6" s="51"/>
      <c r="P6" s="51"/>
      <c r="Q6" s="51"/>
      <c r="R6" s="51">
        <f>L6</f>
        <v>110</v>
      </c>
      <c r="S6" s="49"/>
      <c r="T6" s="49"/>
      <c r="U6" s="49"/>
      <c r="V6" s="49"/>
    </row>
    <row r="7" spans="1:23" ht="15">
      <c r="A7" t="s">
        <v>32</v>
      </c>
      <c r="C7" s="3">
        <v>5.8</v>
      </c>
      <c r="D7" t="s">
        <v>33</v>
      </c>
      <c r="E7" t="s">
        <v>34</v>
      </c>
      <c r="K7" s="23"/>
      <c r="L7" s="24"/>
      <c r="M7" s="24"/>
      <c r="N7" s="52"/>
      <c r="O7" s="52"/>
      <c r="P7" s="52"/>
      <c r="Q7" s="52"/>
      <c r="R7" s="52"/>
      <c r="S7" s="53"/>
      <c r="T7" s="53"/>
      <c r="U7" s="53"/>
      <c r="V7" s="53"/>
      <c r="W7" s="42"/>
    </row>
    <row r="8" spans="1:23" ht="18" thickBot="1">
      <c r="A8" t="s">
        <v>35</v>
      </c>
      <c r="C8" s="3">
        <v>2</v>
      </c>
      <c r="D8" t="s">
        <v>36</v>
      </c>
      <c r="K8" s="15" t="s">
        <v>93</v>
      </c>
      <c r="L8" s="14"/>
      <c r="M8" s="25">
        <v>1</v>
      </c>
      <c r="N8" s="49"/>
      <c r="O8" s="49"/>
      <c r="P8" s="49"/>
      <c r="Q8" s="49"/>
      <c r="R8" s="49"/>
      <c r="S8" s="49"/>
      <c r="T8" s="49"/>
      <c r="U8" s="49"/>
      <c r="V8" s="49"/>
    </row>
    <row r="9" spans="1:23" ht="18.75" thickTop="1" thickBot="1">
      <c r="C9" s="3"/>
      <c r="K9" s="26"/>
      <c r="L9" s="14"/>
      <c r="M9" s="14"/>
      <c r="N9" s="49"/>
      <c r="O9" s="49"/>
      <c r="P9" s="49"/>
      <c r="Q9" s="49"/>
      <c r="R9" s="49"/>
      <c r="S9" s="49"/>
      <c r="T9" s="49"/>
      <c r="U9" s="49"/>
      <c r="V9" s="49"/>
    </row>
    <row r="10" spans="1:23" ht="18" thickBot="1">
      <c r="C10" s="3"/>
      <c r="K10" s="27" t="s">
        <v>88</v>
      </c>
      <c r="L10" s="28" t="s">
        <v>94</v>
      </c>
      <c r="M10" s="29" t="s">
        <v>95</v>
      </c>
      <c r="N10" s="54">
        <v>35</v>
      </c>
      <c r="O10" s="54">
        <v>40</v>
      </c>
      <c r="P10" s="54">
        <v>45</v>
      </c>
      <c r="Q10" s="54">
        <v>50</v>
      </c>
      <c r="R10" s="54">
        <v>55</v>
      </c>
      <c r="S10" s="49"/>
      <c r="T10" s="49"/>
      <c r="U10" s="54">
        <v>55</v>
      </c>
      <c r="V10" s="49"/>
    </row>
    <row r="11" spans="1:23" ht="30.75" thickBot="1">
      <c r="A11" s="4" t="s">
        <v>40</v>
      </c>
      <c r="B11" s="4" t="s">
        <v>41</v>
      </c>
      <c r="C11" s="4" t="s">
        <v>42</v>
      </c>
      <c r="D11" s="4" t="s">
        <v>43</v>
      </c>
      <c r="E11" s="4" t="s">
        <v>44</v>
      </c>
      <c r="F11" s="4" t="s">
        <v>45</v>
      </c>
      <c r="K11" s="30" t="s">
        <v>91</v>
      </c>
      <c r="L11" s="31">
        <f>(M5+$T$20)*2.5/100</f>
        <v>4.1749999999999998</v>
      </c>
      <c r="M11" s="31">
        <f>(L5+$T$20)*2.5/100</f>
        <v>3.125</v>
      </c>
      <c r="N11" s="55">
        <f>L11</f>
        <v>4.1749999999999998</v>
      </c>
      <c r="O11" s="56"/>
      <c r="P11" s="56"/>
      <c r="Q11" s="56"/>
      <c r="R11" s="55">
        <f>M11</f>
        <v>3.125</v>
      </c>
      <c r="S11" s="49"/>
      <c r="T11" s="49"/>
      <c r="U11" s="49"/>
      <c r="V11" s="49"/>
    </row>
    <row r="12" spans="1:23" ht="30.75" thickBot="1">
      <c r="A12" s="5" t="s">
        <v>46</v>
      </c>
      <c r="B12" s="5" t="s">
        <v>47</v>
      </c>
      <c r="C12" s="6">
        <v>0.75</v>
      </c>
      <c r="D12" s="6">
        <v>0.09</v>
      </c>
      <c r="E12" s="7">
        <v>0.6</v>
      </c>
      <c r="F12" s="6">
        <v>0.17</v>
      </c>
      <c r="K12" s="32" t="s">
        <v>92</v>
      </c>
      <c r="L12" s="33">
        <f>(M6+$T$20)*2.5/100</f>
        <v>3.75</v>
      </c>
      <c r="M12" s="33">
        <f>(L6+$T$20)*2.5/100</f>
        <v>2.75</v>
      </c>
      <c r="N12" s="55">
        <f>L12</f>
        <v>3.75</v>
      </c>
      <c r="O12" s="56"/>
      <c r="P12" s="56"/>
      <c r="Q12" s="56"/>
      <c r="R12" s="55">
        <f>M12</f>
        <v>2.75</v>
      </c>
      <c r="S12" s="49"/>
      <c r="T12" s="49"/>
      <c r="U12" s="49"/>
      <c r="V12" s="49"/>
    </row>
    <row r="13" spans="1:23" ht="15.75" thickBot="1">
      <c r="A13" s="5" t="s">
        <v>48</v>
      </c>
      <c r="B13" s="5" t="s">
        <v>49</v>
      </c>
      <c r="C13" s="6">
        <v>2</v>
      </c>
      <c r="D13" s="6">
        <v>0.2</v>
      </c>
      <c r="E13" s="7">
        <v>1</v>
      </c>
      <c r="F13" s="6">
        <v>0.2</v>
      </c>
      <c r="M13" s="12"/>
    </row>
    <row r="14" spans="1:23" ht="18" thickBot="1">
      <c r="A14" s="5" t="s">
        <v>50</v>
      </c>
      <c r="B14" s="5" t="s">
        <v>51</v>
      </c>
      <c r="C14" s="6">
        <v>5.8</v>
      </c>
      <c r="D14" s="6">
        <v>0.22</v>
      </c>
      <c r="E14" s="7">
        <v>1</v>
      </c>
      <c r="F14" s="6">
        <v>0.22</v>
      </c>
      <c r="K14" s="15" t="s">
        <v>96</v>
      </c>
      <c r="L14" s="34"/>
      <c r="M14" s="15"/>
    </row>
    <row r="15" spans="1:23" ht="61.5" thickTop="1" thickBot="1">
      <c r="A15" s="5" t="s">
        <v>52</v>
      </c>
      <c r="B15" s="5" t="s">
        <v>53</v>
      </c>
      <c r="C15" s="6">
        <v>0.56999999999999995</v>
      </c>
      <c r="D15" s="6">
        <v>0.56999999999999995</v>
      </c>
      <c r="E15" s="7">
        <v>4</v>
      </c>
      <c r="F15" s="6">
        <v>0.14000000000000001</v>
      </c>
      <c r="L15" s="14"/>
    </row>
    <row r="16" spans="1:23" ht="60.75" thickBot="1">
      <c r="A16" s="5" t="s">
        <v>54</v>
      </c>
      <c r="B16" s="5" t="s">
        <v>53</v>
      </c>
      <c r="C16" s="6">
        <v>0.56999999999999995</v>
      </c>
      <c r="D16" s="6">
        <v>0.56999999999999995</v>
      </c>
      <c r="E16" s="7">
        <v>1</v>
      </c>
      <c r="F16" s="6">
        <v>0.56999999999999995</v>
      </c>
      <c r="K16" s="214" t="s">
        <v>91</v>
      </c>
      <c r="L16" s="215"/>
      <c r="M16" s="35">
        <f>(L11-M11)/M11/20</f>
        <v>1.6799999999999999E-2</v>
      </c>
    </row>
    <row r="17" spans="1:23" ht="15.75" thickBot="1">
      <c r="A17" s="5" t="s">
        <v>55</v>
      </c>
      <c r="B17" s="5" t="s">
        <v>56</v>
      </c>
      <c r="C17" s="6">
        <v>3</v>
      </c>
      <c r="D17" s="6">
        <v>0.3</v>
      </c>
      <c r="E17" s="7">
        <v>0.9</v>
      </c>
      <c r="F17" s="6">
        <v>0.33</v>
      </c>
      <c r="J17" s="42"/>
      <c r="K17" s="212" t="s">
        <v>92</v>
      </c>
      <c r="L17" s="213"/>
      <c r="M17" s="36">
        <f>(L12-M12)/M12/20</f>
        <v>1.8181818181818181E-2</v>
      </c>
    </row>
    <row r="18" spans="1:23" ht="15.75" thickBot="1">
      <c r="A18" s="5" t="s">
        <v>57</v>
      </c>
      <c r="B18" s="5" t="s">
        <v>24</v>
      </c>
      <c r="C18" s="6">
        <v>0.8</v>
      </c>
      <c r="D18" s="6">
        <v>0.16</v>
      </c>
      <c r="E18" s="7">
        <v>0.8</v>
      </c>
      <c r="F18" s="6">
        <v>0.2</v>
      </c>
    </row>
    <row r="19" spans="1:23" ht="31.5" thickBot="1">
      <c r="A19" s="8" t="s">
        <v>58</v>
      </c>
      <c r="B19" s="8" t="s">
        <v>59</v>
      </c>
      <c r="C19" s="9">
        <v>0.24</v>
      </c>
      <c r="D19" s="9">
        <v>0.06</v>
      </c>
      <c r="E19" s="10">
        <v>0.6</v>
      </c>
      <c r="F19" s="9">
        <v>0.1</v>
      </c>
      <c r="K19" s="15" t="s">
        <v>97</v>
      </c>
      <c r="L19" s="34"/>
      <c r="M19" s="15"/>
      <c r="N19" s="43"/>
      <c r="O19" s="43"/>
      <c r="P19" s="43"/>
      <c r="Q19" s="43"/>
      <c r="R19" s="43"/>
      <c r="S19" s="44"/>
      <c r="T19" s="44"/>
      <c r="U19" s="44"/>
      <c r="V19" s="44"/>
      <c r="W19" s="44"/>
    </row>
    <row r="20" spans="1:23" ht="15" thickBot="1"/>
    <row r="21" spans="1:23" ht="18" thickBot="1">
      <c r="K21" s="210" t="s">
        <v>98</v>
      </c>
      <c r="L21" s="211"/>
      <c r="M21" s="37">
        <v>45</v>
      </c>
    </row>
    <row r="22" spans="1:23" ht="15.75" thickBot="1">
      <c r="K22" s="212" t="s">
        <v>99</v>
      </c>
      <c r="L22" s="213"/>
      <c r="M22" s="38">
        <f>L12-(L12-M12)*(M21-35)/20</f>
        <v>3.25</v>
      </c>
    </row>
    <row r="23" spans="1:23" ht="15.75" thickBot="1">
      <c r="K23" s="214" t="s">
        <v>100</v>
      </c>
      <c r="L23" s="215"/>
      <c r="M23" s="39">
        <f>L11-(L11-M11)*(M21-35)/20</f>
        <v>3.65</v>
      </c>
    </row>
    <row r="25" spans="1:23" ht="18" thickBot="1">
      <c r="K25" s="15" t="s">
        <v>101</v>
      </c>
      <c r="L25" s="34"/>
      <c r="M25" s="15"/>
    </row>
    <row r="26" spans="1:23" ht="15.75" thickTop="1" thickBot="1"/>
    <row r="27" spans="1:23" ht="15.75" thickBot="1">
      <c r="K27" s="210" t="s">
        <v>102</v>
      </c>
      <c r="L27" s="211"/>
      <c r="M27" s="37">
        <v>57</v>
      </c>
    </row>
    <row r="28" spans="1:23" ht="15.75" thickBot="1">
      <c r="K28" s="212" t="s">
        <v>103</v>
      </c>
      <c r="L28" s="213"/>
      <c r="M28" s="40">
        <f>M27/M22</f>
        <v>17.53846153846154</v>
      </c>
    </row>
    <row r="29" spans="1:23" ht="15.75" thickBot="1">
      <c r="K29" s="214" t="s">
        <v>104</v>
      </c>
      <c r="L29" s="215"/>
      <c r="M29" s="41">
        <f>M27/M23</f>
        <v>15.616438356164384</v>
      </c>
    </row>
    <row r="30" spans="1:23">
      <c r="J30" s="44"/>
    </row>
    <row r="31" spans="1:23" ht="15">
      <c r="K31" s="45" t="s">
        <v>106</v>
      </c>
      <c r="L31" s="1"/>
      <c r="M31" s="46"/>
    </row>
  </sheetData>
  <mergeCells count="8">
    <mergeCell ref="K27:L27"/>
    <mergeCell ref="K28:L28"/>
    <mergeCell ref="K29:L29"/>
    <mergeCell ref="K16:L16"/>
    <mergeCell ref="K17:L17"/>
    <mergeCell ref="K21:L21"/>
    <mergeCell ref="K22:L22"/>
    <mergeCell ref="K23:L2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3" name="Drop Down 12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238125</xdr:rowOff>
                  </from>
                  <to>
                    <xdr:col>12</xdr:col>
                    <xdr:colOff>628650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4.25"/>
  <cols>
    <col min="1" max="1" width="36.625" customWidth="1"/>
    <col min="2" max="2" width="10.125" customWidth="1"/>
  </cols>
  <sheetData>
    <row r="1" spans="1:12" ht="15">
      <c r="A1" s="16" t="s">
        <v>254</v>
      </c>
      <c r="B1" s="60"/>
      <c r="C1" s="60"/>
      <c r="D1" s="60"/>
      <c r="E1" s="60"/>
      <c r="F1" s="60"/>
    </row>
    <row r="2" spans="1:12" ht="15">
      <c r="A2" s="60" t="s">
        <v>278</v>
      </c>
      <c r="B2" s="60"/>
      <c r="C2" s="60"/>
      <c r="D2" s="60"/>
      <c r="E2" s="60"/>
      <c r="F2" s="60"/>
    </row>
    <row r="3" spans="1:12" ht="15">
      <c r="A3" s="60" t="s">
        <v>275</v>
      </c>
      <c r="B3" s="60"/>
      <c r="C3" s="60"/>
      <c r="D3" s="60"/>
      <c r="E3" s="60"/>
      <c r="F3" s="60"/>
    </row>
    <row r="4" spans="1:12" ht="15">
      <c r="A4" s="60" t="s">
        <v>280</v>
      </c>
      <c r="B4" s="60"/>
      <c r="C4" s="60"/>
      <c r="D4" s="60"/>
      <c r="E4" s="60"/>
      <c r="F4" s="60"/>
    </row>
    <row r="5" spans="1:12" ht="15">
      <c r="A5" s="150" t="s">
        <v>279</v>
      </c>
      <c r="B5" s="60"/>
      <c r="C5" s="60"/>
      <c r="D5" s="60"/>
      <c r="E5" s="60"/>
      <c r="F5" s="60"/>
    </row>
    <row r="6" spans="1:12" ht="15">
      <c r="A6" s="150" t="s">
        <v>316</v>
      </c>
      <c r="B6" s="60"/>
      <c r="C6" s="60"/>
      <c r="D6" s="60"/>
      <c r="E6" s="60"/>
      <c r="F6" s="60"/>
    </row>
    <row r="7" spans="1:12" ht="15">
      <c r="A7" s="150"/>
      <c r="B7" s="60"/>
      <c r="C7" s="60"/>
      <c r="D7" s="60"/>
      <c r="E7" s="60"/>
      <c r="F7" s="60"/>
    </row>
    <row r="8" spans="1:12" ht="15">
      <c r="A8" s="60" t="s">
        <v>317</v>
      </c>
      <c r="B8" s="60" t="s">
        <v>277</v>
      </c>
      <c r="C8" s="60" t="s">
        <v>276</v>
      </c>
      <c r="D8" s="60"/>
      <c r="E8" s="60"/>
      <c r="F8" s="60"/>
    </row>
    <row r="9" spans="1:12" ht="15">
      <c r="B9" s="60"/>
      <c r="C9" s="60"/>
      <c r="D9" s="60"/>
      <c r="E9" s="60"/>
      <c r="F9" s="60"/>
      <c r="H9" s="60"/>
      <c r="I9" s="60"/>
      <c r="J9" s="60"/>
      <c r="K9" s="60"/>
      <c r="L9" s="60"/>
    </row>
    <row r="10" spans="1:12" ht="15">
      <c r="A10" s="45" t="s">
        <v>258</v>
      </c>
      <c r="B10" s="154" t="s">
        <v>259</v>
      </c>
      <c r="C10" s="154" t="s">
        <v>260</v>
      </c>
      <c r="D10" s="45" t="s">
        <v>273</v>
      </c>
      <c r="F10" s="60"/>
      <c r="H10" s="60"/>
      <c r="I10" s="60"/>
      <c r="J10" s="60"/>
      <c r="K10" s="60"/>
      <c r="L10" s="60"/>
    </row>
    <row r="11" spans="1:12" ht="30">
      <c r="A11" s="119" t="s">
        <v>357</v>
      </c>
      <c r="B11" s="155">
        <v>0.3</v>
      </c>
      <c r="C11" s="155">
        <v>5700</v>
      </c>
      <c r="D11" s="155">
        <f>0.3*5.7</f>
        <v>1.71</v>
      </c>
      <c r="F11" s="60"/>
      <c r="H11" s="60"/>
      <c r="I11" s="60"/>
      <c r="J11" s="60"/>
      <c r="K11" s="60"/>
      <c r="L11" s="60"/>
    </row>
    <row r="12" spans="1:12" ht="15">
      <c r="A12" s="119" t="s">
        <v>262</v>
      </c>
      <c r="B12" s="155">
        <v>0.2</v>
      </c>
      <c r="C12" s="155">
        <v>1500</v>
      </c>
      <c r="D12" s="155">
        <f>0.2*1.5</f>
        <v>0.30000000000000004</v>
      </c>
      <c r="F12" s="60"/>
      <c r="H12" s="60"/>
      <c r="I12" s="60"/>
      <c r="J12" s="60"/>
      <c r="K12" s="60"/>
      <c r="L12" s="60"/>
    </row>
    <row r="13" spans="1:12" ht="15">
      <c r="A13" s="119" t="s">
        <v>263</v>
      </c>
      <c r="B13" s="155">
        <v>0.5</v>
      </c>
      <c r="C13" s="155">
        <v>2520</v>
      </c>
      <c r="D13" s="155">
        <f>0.5*2.52</f>
        <v>1.26</v>
      </c>
      <c r="F13" s="60"/>
      <c r="H13" s="60"/>
      <c r="I13" s="60"/>
      <c r="J13" s="60"/>
      <c r="K13" s="60"/>
      <c r="L13" s="60"/>
    </row>
    <row r="14" spans="1:12" ht="30">
      <c r="A14" s="119" t="s">
        <v>261</v>
      </c>
      <c r="B14" s="155">
        <v>0.5</v>
      </c>
      <c r="C14" s="155">
        <v>6700</v>
      </c>
      <c r="D14" s="155">
        <f>0.5*6.7</f>
        <v>3.35</v>
      </c>
      <c r="F14" s="60"/>
      <c r="H14" s="60"/>
      <c r="I14" s="60"/>
      <c r="J14" s="60"/>
      <c r="K14" s="60"/>
      <c r="L14" s="60"/>
    </row>
    <row r="15" spans="1:12" ht="30">
      <c r="A15" s="119" t="s">
        <v>264</v>
      </c>
      <c r="B15" s="155">
        <v>0.7</v>
      </c>
      <c r="C15" s="155">
        <v>1600</v>
      </c>
      <c r="D15" s="155">
        <f>0.7*1.6</f>
        <v>1.1199999999999999</v>
      </c>
      <c r="F15" s="60"/>
    </row>
    <row r="16" spans="1:12" ht="30">
      <c r="A16" s="119" t="s">
        <v>265</v>
      </c>
      <c r="B16" s="155">
        <v>0.45</v>
      </c>
      <c r="C16" s="155">
        <v>1600</v>
      </c>
      <c r="D16" s="155">
        <f>0.45*1.6</f>
        <v>0.72000000000000008</v>
      </c>
      <c r="F16" s="60"/>
    </row>
    <row r="17" spans="1:6" ht="15">
      <c r="F17" s="60"/>
    </row>
    <row r="18" spans="1:6" ht="15">
      <c r="A18" s="45" t="s">
        <v>266</v>
      </c>
      <c r="B18" s="154" t="s">
        <v>259</v>
      </c>
      <c r="C18" s="154" t="s">
        <v>260</v>
      </c>
      <c r="D18" s="45" t="s">
        <v>273</v>
      </c>
      <c r="F18" s="60"/>
    </row>
    <row r="19" spans="1:6" ht="15">
      <c r="A19" s="119" t="s">
        <v>358</v>
      </c>
      <c r="B19" s="155">
        <v>0.15</v>
      </c>
      <c r="C19" s="155">
        <v>8760</v>
      </c>
      <c r="D19" s="155">
        <f>0.15*8.76</f>
        <v>1.3139999999999998</v>
      </c>
      <c r="F19" s="60"/>
    </row>
    <row r="20" spans="1:6" ht="15">
      <c r="A20" s="119" t="s">
        <v>267</v>
      </c>
      <c r="B20" s="155">
        <v>0.25</v>
      </c>
      <c r="C20" s="155">
        <v>270</v>
      </c>
      <c r="D20" s="155">
        <f>0.25*0.27</f>
        <v>6.7500000000000004E-2</v>
      </c>
      <c r="F20" s="60"/>
    </row>
    <row r="21" spans="1:6" ht="15">
      <c r="A21" s="119" t="s">
        <v>268</v>
      </c>
      <c r="B21" s="155">
        <v>1.4</v>
      </c>
      <c r="C21" s="155">
        <v>310</v>
      </c>
      <c r="D21" s="155">
        <f>1.4*0.31</f>
        <v>0.434</v>
      </c>
    </row>
    <row r="22" spans="1:6" ht="45">
      <c r="A22" s="119" t="s">
        <v>269</v>
      </c>
      <c r="B22" s="155">
        <v>0.7</v>
      </c>
      <c r="C22" s="155">
        <v>400</v>
      </c>
      <c r="D22" s="155">
        <f>0.7*0.4</f>
        <v>0.27999999999999997</v>
      </c>
    </row>
    <row r="23" spans="1:6" ht="45">
      <c r="A23" s="119" t="s">
        <v>270</v>
      </c>
      <c r="B23" s="155">
        <v>0.45</v>
      </c>
      <c r="C23" s="155">
        <v>400</v>
      </c>
      <c r="D23" s="155">
        <f>0.45*0.4</f>
        <v>0.18000000000000002</v>
      </c>
    </row>
    <row r="24" spans="1:6" ht="15">
      <c r="A24" s="119" t="s">
        <v>271</v>
      </c>
      <c r="B24" s="155">
        <v>0.09</v>
      </c>
      <c r="C24" s="155">
        <v>8760</v>
      </c>
      <c r="D24" s="155">
        <f>0.09*8.76</f>
        <v>0.78839999999999999</v>
      </c>
    </row>
    <row r="25" spans="1:6" ht="15">
      <c r="A25" s="119" t="s">
        <v>272</v>
      </c>
      <c r="B25" s="155">
        <v>0.4</v>
      </c>
      <c r="C25" s="155">
        <v>1530</v>
      </c>
      <c r="D25" s="155">
        <f>0.4*1.53</f>
        <v>0.6120000000000001</v>
      </c>
    </row>
  </sheetData>
  <sheetProtection password="CBCD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K9" sqref="K9"/>
    </sheetView>
  </sheetViews>
  <sheetFormatPr defaultRowHeight="15"/>
  <cols>
    <col min="1" max="1" width="9" style="60"/>
    <col min="2" max="2" width="17.5" style="60" bestFit="1" customWidth="1"/>
    <col min="3" max="3" width="16.25" style="60" customWidth="1"/>
    <col min="4" max="4" width="19.125" style="60" customWidth="1"/>
    <col min="5" max="6" width="15.125" style="60" customWidth="1"/>
    <col min="7" max="7" width="17.25" style="60" customWidth="1"/>
    <col min="8" max="9" width="9" style="60"/>
    <col min="10" max="10" width="17" style="60" customWidth="1"/>
    <col min="11" max="11" width="12.125" style="60" customWidth="1"/>
    <col min="12" max="16384" width="9" style="60"/>
  </cols>
  <sheetData>
    <row r="1" spans="1:14">
      <c r="A1" s="60" t="s">
        <v>284</v>
      </c>
    </row>
    <row r="3" spans="1:14" s="118" customFormat="1" ht="45">
      <c r="A3" s="191" t="s">
        <v>68</v>
      </c>
      <c r="B3" s="191" t="s">
        <v>69</v>
      </c>
      <c r="C3" s="191" t="s">
        <v>70</v>
      </c>
      <c r="D3" s="191" t="s">
        <v>71</v>
      </c>
      <c r="E3" s="191" t="s">
        <v>174</v>
      </c>
      <c r="F3" s="191" t="s">
        <v>350</v>
      </c>
      <c r="G3" s="191" t="s">
        <v>172</v>
      </c>
      <c r="H3" s="191" t="s">
        <v>349</v>
      </c>
      <c r="I3" s="191"/>
      <c r="J3" s="191" t="s">
        <v>70</v>
      </c>
      <c r="K3" s="191" t="s">
        <v>351</v>
      </c>
      <c r="L3" s="191"/>
      <c r="M3" s="191"/>
      <c r="N3" s="191" t="s">
        <v>71</v>
      </c>
    </row>
    <row r="4" spans="1:14">
      <c r="A4" s="75">
        <v>1</v>
      </c>
      <c r="B4" s="75">
        <v>28</v>
      </c>
      <c r="C4" s="75">
        <v>8.4</v>
      </c>
      <c r="D4" s="75">
        <v>14</v>
      </c>
      <c r="E4" s="75">
        <f>obliczenia!D39</f>
        <v>0</v>
      </c>
      <c r="F4" s="75">
        <f>C4*E4</f>
        <v>0</v>
      </c>
      <c r="G4" s="75">
        <f>obliczenia!D37</f>
        <v>0</v>
      </c>
      <c r="H4" s="75">
        <f>G4-F4</f>
        <v>0</v>
      </c>
      <c r="I4" s="75">
        <f>COUNTIFS(H4,"&gt;0")</f>
        <v>0</v>
      </c>
      <c r="J4" s="75">
        <f>H4*I4</f>
        <v>0</v>
      </c>
      <c r="K4" s="75">
        <f>D4*E4</f>
        <v>0</v>
      </c>
      <c r="L4" s="75">
        <f>G4-K4</f>
        <v>0</v>
      </c>
      <c r="M4" s="75">
        <f>COUNTIFS(L4,"&gt;0")</f>
        <v>0</v>
      </c>
      <c r="N4" s="75">
        <f>L4*M4</f>
        <v>0</v>
      </c>
    </row>
    <row r="5" spans="1:14">
      <c r="A5" s="75">
        <v>2</v>
      </c>
      <c r="B5" s="75">
        <v>48</v>
      </c>
      <c r="C5" s="75">
        <v>14.4</v>
      </c>
      <c r="D5" s="75">
        <v>24</v>
      </c>
      <c r="E5" s="75">
        <f>obliczenia!D39</f>
        <v>0</v>
      </c>
      <c r="F5" s="75">
        <f t="shared" ref="F5:F15" si="0">C5*E5</f>
        <v>0</v>
      </c>
      <c r="G5" s="75">
        <f>obliczenia!D37</f>
        <v>0</v>
      </c>
      <c r="H5" s="75">
        <f>G5-F5</f>
        <v>0</v>
      </c>
      <c r="I5" s="75">
        <f t="shared" ref="I5:I15" si="1">COUNTIFS(H5,"&gt;0")</f>
        <v>0</v>
      </c>
      <c r="J5" s="75">
        <f t="shared" ref="J5:J15" si="2">H5*I5</f>
        <v>0</v>
      </c>
      <c r="K5" s="75">
        <f t="shared" ref="K5:K15" si="3">D5*E5</f>
        <v>0</v>
      </c>
      <c r="L5" s="75">
        <f t="shared" ref="L5:L15" si="4">G5-K5</f>
        <v>0</v>
      </c>
      <c r="M5" s="75">
        <f t="shared" ref="M5:M15" si="5">COUNTIFS(L5,"&gt;0")</f>
        <v>0</v>
      </c>
      <c r="N5" s="75">
        <f t="shared" ref="N5:N15" si="6">L5*M5</f>
        <v>0</v>
      </c>
    </row>
    <row r="6" spans="1:14">
      <c r="A6" s="75">
        <v>3</v>
      </c>
      <c r="B6" s="75">
        <v>81</v>
      </c>
      <c r="C6" s="75">
        <v>24.3</v>
      </c>
      <c r="D6" s="75">
        <v>40.5</v>
      </c>
      <c r="E6" s="75">
        <f>obliczenia!D39</f>
        <v>0</v>
      </c>
      <c r="F6" s="75">
        <f t="shared" si="0"/>
        <v>0</v>
      </c>
      <c r="G6" s="75">
        <f>obliczenia!D37</f>
        <v>0</v>
      </c>
      <c r="H6" s="75">
        <f t="shared" ref="H6:H15" si="7">G6-F6</f>
        <v>0</v>
      </c>
      <c r="I6" s="75">
        <f t="shared" si="1"/>
        <v>0</v>
      </c>
      <c r="J6" s="75">
        <f t="shared" si="2"/>
        <v>0</v>
      </c>
      <c r="K6" s="75">
        <f t="shared" si="3"/>
        <v>0</v>
      </c>
      <c r="L6" s="75">
        <f t="shared" si="4"/>
        <v>0</v>
      </c>
      <c r="M6" s="75">
        <f t="shared" si="5"/>
        <v>0</v>
      </c>
      <c r="N6" s="75">
        <f t="shared" si="6"/>
        <v>0</v>
      </c>
    </row>
    <row r="7" spans="1:14">
      <c r="A7" s="75">
        <v>4</v>
      </c>
      <c r="B7" s="75">
        <v>107</v>
      </c>
      <c r="C7" s="75">
        <v>32.1</v>
      </c>
      <c r="D7" s="75">
        <v>53.5</v>
      </c>
      <c r="E7" s="75">
        <f>obliczenia!D39</f>
        <v>0</v>
      </c>
      <c r="F7" s="75">
        <f t="shared" si="0"/>
        <v>0</v>
      </c>
      <c r="G7" s="75">
        <f>obliczenia!D37</f>
        <v>0</v>
      </c>
      <c r="H7" s="75">
        <f t="shared" si="7"/>
        <v>0</v>
      </c>
      <c r="I7" s="75">
        <f t="shared" si="1"/>
        <v>0</v>
      </c>
      <c r="J7" s="75">
        <f t="shared" si="2"/>
        <v>0</v>
      </c>
      <c r="K7" s="75">
        <f t="shared" si="3"/>
        <v>0</v>
      </c>
      <c r="L7" s="75">
        <f t="shared" si="4"/>
        <v>0</v>
      </c>
      <c r="M7" s="75">
        <f t="shared" si="5"/>
        <v>0</v>
      </c>
      <c r="N7" s="75">
        <f t="shared" si="6"/>
        <v>0</v>
      </c>
    </row>
    <row r="8" spans="1:14">
      <c r="A8" s="75">
        <v>5</v>
      </c>
      <c r="B8" s="75">
        <v>136</v>
      </c>
      <c r="C8" s="75">
        <v>40.799999999999997</v>
      </c>
      <c r="D8" s="75">
        <v>68</v>
      </c>
      <c r="E8" s="75">
        <f>obliczenia!D39</f>
        <v>0</v>
      </c>
      <c r="F8" s="75">
        <f t="shared" si="0"/>
        <v>0</v>
      </c>
      <c r="G8" s="75">
        <f>obliczenia!D37</f>
        <v>0</v>
      </c>
      <c r="H8" s="75">
        <f t="shared" si="7"/>
        <v>0</v>
      </c>
      <c r="I8" s="75">
        <f t="shared" si="1"/>
        <v>0</v>
      </c>
      <c r="J8" s="75">
        <f t="shared" si="2"/>
        <v>0</v>
      </c>
      <c r="K8" s="75">
        <f t="shared" si="3"/>
        <v>0</v>
      </c>
      <c r="L8" s="75">
        <f t="shared" si="4"/>
        <v>0</v>
      </c>
      <c r="M8" s="75">
        <f t="shared" si="5"/>
        <v>0</v>
      </c>
      <c r="N8" s="75">
        <f t="shared" si="6"/>
        <v>0</v>
      </c>
    </row>
    <row r="9" spans="1:14">
      <c r="A9" s="75">
        <v>6</v>
      </c>
      <c r="B9" s="75">
        <v>132</v>
      </c>
      <c r="C9" s="75">
        <v>39.6</v>
      </c>
      <c r="D9" s="75">
        <v>66</v>
      </c>
      <c r="E9" s="75">
        <f>obliczenia!D39</f>
        <v>0</v>
      </c>
      <c r="F9" s="75">
        <f t="shared" si="0"/>
        <v>0</v>
      </c>
      <c r="G9" s="75">
        <f>obliczenia!D37</f>
        <v>0</v>
      </c>
      <c r="H9" s="75">
        <f t="shared" si="7"/>
        <v>0</v>
      </c>
      <c r="I9" s="75">
        <f t="shared" si="1"/>
        <v>0</v>
      </c>
      <c r="J9" s="75">
        <f t="shared" si="2"/>
        <v>0</v>
      </c>
      <c r="K9" s="75">
        <f t="shared" si="3"/>
        <v>0</v>
      </c>
      <c r="L9" s="75">
        <f t="shared" si="4"/>
        <v>0</v>
      </c>
      <c r="M9" s="75">
        <f t="shared" si="5"/>
        <v>0</v>
      </c>
      <c r="N9" s="75">
        <f t="shared" si="6"/>
        <v>0</v>
      </c>
    </row>
    <row r="10" spans="1:14">
      <c r="A10" s="75">
        <v>7</v>
      </c>
      <c r="B10" s="75">
        <v>133</v>
      </c>
      <c r="C10" s="75">
        <v>39.9</v>
      </c>
      <c r="D10" s="75">
        <v>66.5</v>
      </c>
      <c r="E10" s="75">
        <f>obliczenia!D39</f>
        <v>0</v>
      </c>
      <c r="F10" s="75">
        <f t="shared" si="0"/>
        <v>0</v>
      </c>
      <c r="G10" s="75">
        <f>obliczenia!D37</f>
        <v>0</v>
      </c>
      <c r="H10" s="75">
        <f t="shared" si="7"/>
        <v>0</v>
      </c>
      <c r="I10" s="75">
        <f t="shared" si="1"/>
        <v>0</v>
      </c>
      <c r="J10" s="75">
        <f t="shared" si="2"/>
        <v>0</v>
      </c>
      <c r="K10" s="75">
        <f t="shared" si="3"/>
        <v>0</v>
      </c>
      <c r="L10" s="75">
        <f t="shared" si="4"/>
        <v>0</v>
      </c>
      <c r="M10" s="75">
        <f t="shared" si="5"/>
        <v>0</v>
      </c>
      <c r="N10" s="75">
        <f t="shared" si="6"/>
        <v>0</v>
      </c>
    </row>
    <row r="11" spans="1:14">
      <c r="A11" s="75">
        <v>8</v>
      </c>
      <c r="B11" s="75">
        <v>126</v>
      </c>
      <c r="C11" s="75">
        <v>37.799999999999997</v>
      </c>
      <c r="D11" s="75">
        <v>63</v>
      </c>
      <c r="E11" s="75">
        <f>obliczenia!D39</f>
        <v>0</v>
      </c>
      <c r="F11" s="75">
        <f t="shared" si="0"/>
        <v>0</v>
      </c>
      <c r="G11" s="75">
        <f>obliczenia!D37</f>
        <v>0</v>
      </c>
      <c r="H11" s="75">
        <f t="shared" si="7"/>
        <v>0</v>
      </c>
      <c r="I11" s="75">
        <f t="shared" si="1"/>
        <v>0</v>
      </c>
      <c r="J11" s="75">
        <f t="shared" si="2"/>
        <v>0</v>
      </c>
      <c r="K11" s="75">
        <f t="shared" si="3"/>
        <v>0</v>
      </c>
      <c r="L11" s="75">
        <f t="shared" si="4"/>
        <v>0</v>
      </c>
      <c r="M11" s="75">
        <f t="shared" si="5"/>
        <v>0</v>
      </c>
      <c r="N11" s="75">
        <f t="shared" si="6"/>
        <v>0</v>
      </c>
    </row>
    <row r="12" spans="1:14">
      <c r="A12" s="75">
        <v>9</v>
      </c>
      <c r="B12" s="75">
        <v>94</v>
      </c>
      <c r="C12" s="75">
        <v>28.2</v>
      </c>
      <c r="D12" s="75">
        <v>47</v>
      </c>
      <c r="E12" s="75">
        <f>obliczenia!D39</f>
        <v>0</v>
      </c>
      <c r="F12" s="75">
        <f t="shared" si="0"/>
        <v>0</v>
      </c>
      <c r="G12" s="75">
        <f>obliczenia!D37</f>
        <v>0</v>
      </c>
      <c r="H12" s="75">
        <f t="shared" si="7"/>
        <v>0</v>
      </c>
      <c r="I12" s="75">
        <f t="shared" si="1"/>
        <v>0</v>
      </c>
      <c r="J12" s="75">
        <f t="shared" si="2"/>
        <v>0</v>
      </c>
      <c r="K12" s="75">
        <f t="shared" si="3"/>
        <v>0</v>
      </c>
      <c r="L12" s="75">
        <f t="shared" si="4"/>
        <v>0</v>
      </c>
      <c r="M12" s="75">
        <f t="shared" si="5"/>
        <v>0</v>
      </c>
      <c r="N12" s="75">
        <f t="shared" si="6"/>
        <v>0</v>
      </c>
    </row>
    <row r="13" spans="1:14">
      <c r="A13" s="75">
        <v>10</v>
      </c>
      <c r="B13" s="75">
        <v>65</v>
      </c>
      <c r="C13" s="75">
        <v>19.5</v>
      </c>
      <c r="D13" s="75">
        <v>32.5</v>
      </c>
      <c r="E13" s="75">
        <f>obliczenia!D39</f>
        <v>0</v>
      </c>
      <c r="F13" s="75">
        <f t="shared" si="0"/>
        <v>0</v>
      </c>
      <c r="G13" s="75">
        <f>obliczenia!D37</f>
        <v>0</v>
      </c>
      <c r="H13" s="75">
        <f t="shared" si="7"/>
        <v>0</v>
      </c>
      <c r="I13" s="75">
        <f t="shared" si="1"/>
        <v>0</v>
      </c>
      <c r="J13" s="75">
        <f t="shared" si="2"/>
        <v>0</v>
      </c>
      <c r="K13" s="75">
        <f t="shared" si="3"/>
        <v>0</v>
      </c>
      <c r="L13" s="75">
        <f t="shared" si="4"/>
        <v>0</v>
      </c>
      <c r="M13" s="75">
        <f t="shared" si="5"/>
        <v>0</v>
      </c>
      <c r="N13" s="75">
        <f t="shared" si="6"/>
        <v>0</v>
      </c>
    </row>
    <row r="14" spans="1:14">
      <c r="A14" s="75">
        <v>11</v>
      </c>
      <c r="B14" s="75">
        <v>30</v>
      </c>
      <c r="C14" s="75">
        <v>9</v>
      </c>
      <c r="D14" s="75">
        <v>15</v>
      </c>
      <c r="E14" s="75">
        <f>obliczenia!D39</f>
        <v>0</v>
      </c>
      <c r="F14" s="75">
        <f t="shared" si="0"/>
        <v>0</v>
      </c>
      <c r="G14" s="75">
        <f>obliczenia!D37</f>
        <v>0</v>
      </c>
      <c r="H14" s="75">
        <f t="shared" si="7"/>
        <v>0</v>
      </c>
      <c r="I14" s="75">
        <f t="shared" si="1"/>
        <v>0</v>
      </c>
      <c r="J14" s="75">
        <f t="shared" si="2"/>
        <v>0</v>
      </c>
      <c r="K14" s="75">
        <f t="shared" si="3"/>
        <v>0</v>
      </c>
      <c r="L14" s="75">
        <f t="shared" si="4"/>
        <v>0</v>
      </c>
      <c r="M14" s="75">
        <f t="shared" si="5"/>
        <v>0</v>
      </c>
      <c r="N14" s="75">
        <f t="shared" si="6"/>
        <v>0</v>
      </c>
    </row>
    <row r="15" spans="1:14">
      <c r="A15" s="75">
        <v>12</v>
      </c>
      <c r="B15" s="75">
        <v>19</v>
      </c>
      <c r="C15" s="75">
        <v>5.7</v>
      </c>
      <c r="D15" s="75">
        <v>9.5</v>
      </c>
      <c r="E15" s="75">
        <f>obliczenia!D39</f>
        <v>0</v>
      </c>
      <c r="F15" s="75">
        <f t="shared" si="0"/>
        <v>0</v>
      </c>
      <c r="G15" s="75">
        <f>obliczenia!D37</f>
        <v>0</v>
      </c>
      <c r="H15" s="75">
        <f t="shared" si="7"/>
        <v>0</v>
      </c>
      <c r="I15" s="75">
        <f t="shared" si="1"/>
        <v>0</v>
      </c>
      <c r="J15" s="75">
        <f t="shared" si="2"/>
        <v>0</v>
      </c>
      <c r="K15" s="75">
        <f t="shared" si="3"/>
        <v>0</v>
      </c>
      <c r="L15" s="75">
        <f t="shared" si="4"/>
        <v>0</v>
      </c>
      <c r="M15" s="75">
        <f t="shared" si="5"/>
        <v>0</v>
      </c>
      <c r="N15" s="75">
        <f t="shared" si="6"/>
        <v>0</v>
      </c>
    </row>
    <row r="17" spans="1:14">
      <c r="F17" s="60">
        <f>SUM(F4:F15)</f>
        <v>0</v>
      </c>
      <c r="G17" s="60">
        <f>SUM(G4:G15)</f>
        <v>0</v>
      </c>
      <c r="J17" s="60">
        <f>SUM(J4:J15)</f>
        <v>0</v>
      </c>
      <c r="K17" s="60">
        <f>SUM(K4:K15)</f>
        <v>0</v>
      </c>
      <c r="N17" s="60">
        <f>SUM(N4:N15)</f>
        <v>0</v>
      </c>
    </row>
    <row r="18" spans="1:14">
      <c r="J18" s="126">
        <f>G17-J17</f>
        <v>0</v>
      </c>
      <c r="N18" s="126">
        <f>G17-N17</f>
        <v>0</v>
      </c>
    </row>
    <row r="20" spans="1:14">
      <c r="A20" s="75" t="s">
        <v>68</v>
      </c>
      <c r="B20" s="75" t="s">
        <v>69</v>
      </c>
      <c r="C20" s="75" t="s">
        <v>70</v>
      </c>
      <c r="D20" s="75" t="s">
        <v>71</v>
      </c>
      <c r="E20" s="75" t="s">
        <v>174</v>
      </c>
      <c r="F20" s="75"/>
      <c r="G20" s="75" t="s">
        <v>172</v>
      </c>
      <c r="H20" s="75"/>
      <c r="I20" s="75"/>
      <c r="J20" s="75" t="s">
        <v>70</v>
      </c>
      <c r="K20" s="75"/>
      <c r="L20" s="75"/>
      <c r="M20" s="75"/>
      <c r="N20" s="75" t="s">
        <v>71</v>
      </c>
    </row>
    <row r="21" spans="1:14">
      <c r="A21" s="75">
        <v>1</v>
      </c>
      <c r="B21" s="75">
        <v>28</v>
      </c>
      <c r="C21" s="75">
        <v>8.4</v>
      </c>
      <c r="D21" s="75">
        <v>14</v>
      </c>
      <c r="E21" s="75">
        <f>obliczenia!D83</f>
        <v>0</v>
      </c>
      <c r="F21" s="75">
        <f>C21*E21</f>
        <v>0</v>
      </c>
      <c r="G21" s="75">
        <f>obliczenia!D81</f>
        <v>160.45153287258549</v>
      </c>
      <c r="H21" s="75">
        <f>G21-F21</f>
        <v>160.45153287258549</v>
      </c>
      <c r="I21" s="75">
        <f>COUNTIFS(H21,"&gt;0")</f>
        <v>1</v>
      </c>
      <c r="J21" s="75">
        <f>H21*I21</f>
        <v>160.45153287258549</v>
      </c>
      <c r="K21" s="75">
        <f>D21*E21</f>
        <v>0</v>
      </c>
      <c r="L21" s="75">
        <f>G21-K21</f>
        <v>160.45153287258549</v>
      </c>
      <c r="M21" s="75">
        <f>COUNTIFS(L21,"&gt;0")</f>
        <v>1</v>
      </c>
      <c r="N21" s="75">
        <f>L21*M21</f>
        <v>160.45153287258549</v>
      </c>
    </row>
    <row r="22" spans="1:14">
      <c r="A22" s="75">
        <v>2</v>
      </c>
      <c r="B22" s="75">
        <v>48</v>
      </c>
      <c r="C22" s="75">
        <v>14.4</v>
      </c>
      <c r="D22" s="75">
        <v>24</v>
      </c>
      <c r="E22" s="75">
        <f>obliczenia!D83</f>
        <v>0</v>
      </c>
      <c r="F22" s="75">
        <f t="shared" ref="F22:F32" si="8">C22*E22</f>
        <v>0</v>
      </c>
      <c r="G22" s="75">
        <f>obliczenia!D81</f>
        <v>160.45153287258549</v>
      </c>
      <c r="H22" s="75">
        <f>G22-F22</f>
        <v>160.45153287258549</v>
      </c>
      <c r="I22" s="75">
        <f t="shared" ref="I22:I32" si="9">COUNTIFS(H22,"&gt;0")</f>
        <v>1</v>
      </c>
      <c r="J22" s="75">
        <f t="shared" ref="J22:J32" si="10">H22*I22</f>
        <v>160.45153287258549</v>
      </c>
      <c r="K22" s="75">
        <f t="shared" ref="K22:K32" si="11">D22*E22</f>
        <v>0</v>
      </c>
      <c r="L22" s="75">
        <f t="shared" ref="L22:L32" si="12">G22-K22</f>
        <v>160.45153287258549</v>
      </c>
      <c r="M22" s="75">
        <f t="shared" ref="M22:M32" si="13">COUNTIFS(L22,"&gt;0")</f>
        <v>1</v>
      </c>
      <c r="N22" s="75">
        <f t="shared" ref="N22:N32" si="14">L22*M22</f>
        <v>160.45153287258549</v>
      </c>
    </row>
    <row r="23" spans="1:14">
      <c r="A23" s="75">
        <v>3</v>
      </c>
      <c r="B23" s="75">
        <v>81</v>
      </c>
      <c r="C23" s="75">
        <v>24.3</v>
      </c>
      <c r="D23" s="75">
        <v>40.5</v>
      </c>
      <c r="E23" s="75">
        <f>obliczenia!D83</f>
        <v>0</v>
      </c>
      <c r="F23" s="75">
        <f t="shared" si="8"/>
        <v>0</v>
      </c>
      <c r="G23" s="75">
        <f>obliczenia!D81</f>
        <v>160.45153287258549</v>
      </c>
      <c r="H23" s="75">
        <f t="shared" ref="H23:H32" si="15">G23-F23</f>
        <v>160.45153287258549</v>
      </c>
      <c r="I23" s="75">
        <f t="shared" si="9"/>
        <v>1</v>
      </c>
      <c r="J23" s="75">
        <f t="shared" si="10"/>
        <v>160.45153287258549</v>
      </c>
      <c r="K23" s="75">
        <f t="shared" si="11"/>
        <v>0</v>
      </c>
      <c r="L23" s="75">
        <f t="shared" si="12"/>
        <v>160.45153287258549</v>
      </c>
      <c r="M23" s="75">
        <f t="shared" si="13"/>
        <v>1</v>
      </c>
      <c r="N23" s="75">
        <f t="shared" si="14"/>
        <v>160.45153287258549</v>
      </c>
    </row>
    <row r="24" spans="1:14">
      <c r="A24" s="75">
        <v>4</v>
      </c>
      <c r="B24" s="75">
        <v>107</v>
      </c>
      <c r="C24" s="75">
        <v>32.1</v>
      </c>
      <c r="D24" s="75">
        <v>53.5</v>
      </c>
      <c r="E24" s="75">
        <f>obliczenia!D83</f>
        <v>0</v>
      </c>
      <c r="F24" s="75">
        <f t="shared" si="8"/>
        <v>0</v>
      </c>
      <c r="G24" s="75">
        <f>obliczenia!D81</f>
        <v>160.45153287258549</v>
      </c>
      <c r="H24" s="75">
        <f t="shared" si="15"/>
        <v>160.45153287258549</v>
      </c>
      <c r="I24" s="75">
        <f t="shared" si="9"/>
        <v>1</v>
      </c>
      <c r="J24" s="75">
        <f t="shared" si="10"/>
        <v>160.45153287258549</v>
      </c>
      <c r="K24" s="75">
        <f t="shared" si="11"/>
        <v>0</v>
      </c>
      <c r="L24" s="75">
        <f t="shared" si="12"/>
        <v>160.45153287258549</v>
      </c>
      <c r="M24" s="75">
        <f t="shared" si="13"/>
        <v>1</v>
      </c>
      <c r="N24" s="75">
        <f t="shared" si="14"/>
        <v>160.45153287258549</v>
      </c>
    </row>
    <row r="25" spans="1:14">
      <c r="A25" s="75">
        <v>5</v>
      </c>
      <c r="B25" s="75">
        <v>136</v>
      </c>
      <c r="C25" s="75">
        <v>40.799999999999997</v>
      </c>
      <c r="D25" s="75">
        <v>68</v>
      </c>
      <c r="E25" s="75">
        <f>obliczenia!D83</f>
        <v>0</v>
      </c>
      <c r="F25" s="75">
        <f t="shared" si="8"/>
        <v>0</v>
      </c>
      <c r="G25" s="75">
        <f>obliczenia!D81</f>
        <v>160.45153287258549</v>
      </c>
      <c r="H25" s="75">
        <f t="shared" si="15"/>
        <v>160.45153287258549</v>
      </c>
      <c r="I25" s="75">
        <f t="shared" si="9"/>
        <v>1</v>
      </c>
      <c r="J25" s="75">
        <f t="shared" si="10"/>
        <v>160.45153287258549</v>
      </c>
      <c r="K25" s="75">
        <f t="shared" si="11"/>
        <v>0</v>
      </c>
      <c r="L25" s="75">
        <f t="shared" si="12"/>
        <v>160.45153287258549</v>
      </c>
      <c r="M25" s="75">
        <f t="shared" si="13"/>
        <v>1</v>
      </c>
      <c r="N25" s="75">
        <f t="shared" si="14"/>
        <v>160.45153287258549</v>
      </c>
    </row>
    <row r="26" spans="1:14">
      <c r="A26" s="75">
        <v>6</v>
      </c>
      <c r="B26" s="75">
        <v>132</v>
      </c>
      <c r="C26" s="75">
        <v>39.6</v>
      </c>
      <c r="D26" s="75">
        <v>66</v>
      </c>
      <c r="E26" s="75">
        <f>obliczenia!D83</f>
        <v>0</v>
      </c>
      <c r="F26" s="75">
        <f t="shared" si="8"/>
        <v>0</v>
      </c>
      <c r="G26" s="75">
        <f>obliczenia!D81</f>
        <v>160.45153287258549</v>
      </c>
      <c r="H26" s="75">
        <f t="shared" si="15"/>
        <v>160.45153287258549</v>
      </c>
      <c r="I26" s="75">
        <f t="shared" si="9"/>
        <v>1</v>
      </c>
      <c r="J26" s="75">
        <f t="shared" si="10"/>
        <v>160.45153287258549</v>
      </c>
      <c r="K26" s="75">
        <f t="shared" si="11"/>
        <v>0</v>
      </c>
      <c r="L26" s="75">
        <f t="shared" si="12"/>
        <v>160.45153287258549</v>
      </c>
      <c r="M26" s="75">
        <f t="shared" si="13"/>
        <v>1</v>
      </c>
      <c r="N26" s="75">
        <f t="shared" si="14"/>
        <v>160.45153287258549</v>
      </c>
    </row>
    <row r="27" spans="1:14">
      <c r="A27" s="75">
        <v>7</v>
      </c>
      <c r="B27" s="75">
        <v>133</v>
      </c>
      <c r="C27" s="75">
        <v>39.9</v>
      </c>
      <c r="D27" s="75">
        <v>66.5</v>
      </c>
      <c r="E27" s="75">
        <f>obliczenia!D83</f>
        <v>0</v>
      </c>
      <c r="F27" s="75">
        <f t="shared" si="8"/>
        <v>0</v>
      </c>
      <c r="G27" s="75">
        <f>obliczenia!D81</f>
        <v>160.45153287258549</v>
      </c>
      <c r="H27" s="75">
        <f t="shared" si="15"/>
        <v>160.45153287258549</v>
      </c>
      <c r="I27" s="75">
        <f t="shared" si="9"/>
        <v>1</v>
      </c>
      <c r="J27" s="75">
        <f t="shared" si="10"/>
        <v>160.45153287258549</v>
      </c>
      <c r="K27" s="75">
        <f t="shared" si="11"/>
        <v>0</v>
      </c>
      <c r="L27" s="75">
        <f t="shared" si="12"/>
        <v>160.45153287258549</v>
      </c>
      <c r="M27" s="75">
        <f t="shared" si="13"/>
        <v>1</v>
      </c>
      <c r="N27" s="75">
        <f t="shared" si="14"/>
        <v>160.45153287258549</v>
      </c>
    </row>
    <row r="28" spans="1:14">
      <c r="A28" s="75">
        <v>8</v>
      </c>
      <c r="B28" s="75">
        <v>126</v>
      </c>
      <c r="C28" s="75">
        <v>37.799999999999997</v>
      </c>
      <c r="D28" s="75">
        <v>63</v>
      </c>
      <c r="E28" s="75">
        <f>obliczenia!D83</f>
        <v>0</v>
      </c>
      <c r="F28" s="75">
        <f t="shared" si="8"/>
        <v>0</v>
      </c>
      <c r="G28" s="75">
        <f>obliczenia!D81</f>
        <v>160.45153287258549</v>
      </c>
      <c r="H28" s="75">
        <f t="shared" si="15"/>
        <v>160.45153287258549</v>
      </c>
      <c r="I28" s="75">
        <f t="shared" si="9"/>
        <v>1</v>
      </c>
      <c r="J28" s="75">
        <f t="shared" si="10"/>
        <v>160.45153287258549</v>
      </c>
      <c r="K28" s="75">
        <f t="shared" si="11"/>
        <v>0</v>
      </c>
      <c r="L28" s="75">
        <f t="shared" si="12"/>
        <v>160.45153287258549</v>
      </c>
      <c r="M28" s="75">
        <f t="shared" si="13"/>
        <v>1</v>
      </c>
      <c r="N28" s="75">
        <f t="shared" si="14"/>
        <v>160.45153287258549</v>
      </c>
    </row>
    <row r="29" spans="1:14">
      <c r="A29" s="75">
        <v>9</v>
      </c>
      <c r="B29" s="75">
        <v>94</v>
      </c>
      <c r="C29" s="75">
        <v>28.2</v>
      </c>
      <c r="D29" s="75">
        <v>47</v>
      </c>
      <c r="E29" s="75">
        <f>obliczenia!D83</f>
        <v>0</v>
      </c>
      <c r="F29" s="75">
        <f t="shared" si="8"/>
        <v>0</v>
      </c>
      <c r="G29" s="75">
        <f>obliczenia!D81</f>
        <v>160.45153287258549</v>
      </c>
      <c r="H29" s="75">
        <f t="shared" si="15"/>
        <v>160.45153287258549</v>
      </c>
      <c r="I29" s="75">
        <f t="shared" si="9"/>
        <v>1</v>
      </c>
      <c r="J29" s="75">
        <f t="shared" si="10"/>
        <v>160.45153287258549</v>
      </c>
      <c r="K29" s="75">
        <f t="shared" si="11"/>
        <v>0</v>
      </c>
      <c r="L29" s="75">
        <f t="shared" si="12"/>
        <v>160.45153287258549</v>
      </c>
      <c r="M29" s="75">
        <f t="shared" si="13"/>
        <v>1</v>
      </c>
      <c r="N29" s="75">
        <f t="shared" si="14"/>
        <v>160.45153287258549</v>
      </c>
    </row>
    <row r="30" spans="1:14">
      <c r="A30" s="75">
        <v>10</v>
      </c>
      <c r="B30" s="75">
        <v>65</v>
      </c>
      <c r="C30" s="75">
        <v>19.5</v>
      </c>
      <c r="D30" s="75">
        <v>32.5</v>
      </c>
      <c r="E30" s="75">
        <f>obliczenia!D83</f>
        <v>0</v>
      </c>
      <c r="F30" s="75">
        <f t="shared" si="8"/>
        <v>0</v>
      </c>
      <c r="G30" s="75">
        <f>obliczenia!D81</f>
        <v>160.45153287258549</v>
      </c>
      <c r="H30" s="75">
        <f t="shared" si="15"/>
        <v>160.45153287258549</v>
      </c>
      <c r="I30" s="75">
        <f t="shared" si="9"/>
        <v>1</v>
      </c>
      <c r="J30" s="75">
        <f t="shared" si="10"/>
        <v>160.45153287258549</v>
      </c>
      <c r="K30" s="75">
        <f t="shared" si="11"/>
        <v>0</v>
      </c>
      <c r="L30" s="75">
        <f t="shared" si="12"/>
        <v>160.45153287258549</v>
      </c>
      <c r="M30" s="75">
        <f t="shared" si="13"/>
        <v>1</v>
      </c>
      <c r="N30" s="75">
        <f t="shared" si="14"/>
        <v>160.45153287258549</v>
      </c>
    </row>
    <row r="31" spans="1:14">
      <c r="A31" s="75">
        <v>11</v>
      </c>
      <c r="B31" s="75">
        <v>30</v>
      </c>
      <c r="C31" s="75">
        <v>9</v>
      </c>
      <c r="D31" s="75">
        <v>15</v>
      </c>
      <c r="E31" s="75">
        <f>obliczenia!D83</f>
        <v>0</v>
      </c>
      <c r="F31" s="75">
        <f t="shared" si="8"/>
        <v>0</v>
      </c>
      <c r="G31" s="75">
        <f>obliczenia!D81</f>
        <v>160.45153287258549</v>
      </c>
      <c r="H31" s="75">
        <f t="shared" si="15"/>
        <v>160.45153287258549</v>
      </c>
      <c r="I31" s="75">
        <f t="shared" si="9"/>
        <v>1</v>
      </c>
      <c r="J31" s="75">
        <f t="shared" si="10"/>
        <v>160.45153287258549</v>
      </c>
      <c r="K31" s="75">
        <f t="shared" si="11"/>
        <v>0</v>
      </c>
      <c r="L31" s="75">
        <f t="shared" si="12"/>
        <v>160.45153287258549</v>
      </c>
      <c r="M31" s="75">
        <f t="shared" si="13"/>
        <v>1</v>
      </c>
      <c r="N31" s="75">
        <f t="shared" si="14"/>
        <v>160.45153287258549</v>
      </c>
    </row>
    <row r="32" spans="1:14">
      <c r="A32" s="75">
        <v>12</v>
      </c>
      <c r="B32" s="75">
        <v>19</v>
      </c>
      <c r="C32" s="75">
        <v>5.7</v>
      </c>
      <c r="D32" s="75">
        <v>9.5</v>
      </c>
      <c r="E32" s="75">
        <f>obliczenia!D83</f>
        <v>0</v>
      </c>
      <c r="F32" s="75">
        <f t="shared" si="8"/>
        <v>0</v>
      </c>
      <c r="G32" s="75">
        <f>obliczenia!D81</f>
        <v>160.45153287258549</v>
      </c>
      <c r="H32" s="75">
        <f t="shared" si="15"/>
        <v>160.45153287258549</v>
      </c>
      <c r="I32" s="75">
        <f t="shared" si="9"/>
        <v>1</v>
      </c>
      <c r="J32" s="75">
        <f t="shared" si="10"/>
        <v>160.45153287258549</v>
      </c>
      <c r="K32" s="75">
        <f t="shared" si="11"/>
        <v>0</v>
      </c>
      <c r="L32" s="75">
        <f t="shared" si="12"/>
        <v>160.45153287258549</v>
      </c>
      <c r="M32" s="75">
        <f t="shared" si="13"/>
        <v>1</v>
      </c>
      <c r="N32" s="75">
        <f t="shared" si="14"/>
        <v>160.45153287258549</v>
      </c>
    </row>
    <row r="34" spans="6:14">
      <c r="F34" s="60">
        <f>SUM(F21:F32)</f>
        <v>0</v>
      </c>
      <c r="G34" s="60">
        <f>SUM(G21:G32)</f>
        <v>1925.4183944710255</v>
      </c>
      <c r="J34" s="60">
        <f>SUM(J21:J32)</f>
        <v>1925.4183944710255</v>
      </c>
      <c r="K34" s="60">
        <f>SUM(K21:K32)</f>
        <v>0</v>
      </c>
      <c r="N34" s="60">
        <f>SUM(N21:N32)</f>
        <v>1925.4183944710255</v>
      </c>
    </row>
    <row r="35" spans="6:14">
      <c r="J35" s="126">
        <f>G34-J34</f>
        <v>0</v>
      </c>
      <c r="N35" s="126">
        <f>G34-N34</f>
        <v>0</v>
      </c>
    </row>
  </sheetData>
  <sheetProtection password="CBCD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29"/>
  <sheetViews>
    <sheetView topLeftCell="F1" workbookViewId="0">
      <selection activeCell="L19" sqref="L19"/>
    </sheetView>
  </sheetViews>
  <sheetFormatPr defaultRowHeight="14.25"/>
  <sheetData>
    <row r="7" spans="11:22" ht="15">
      <c r="K7" s="60" t="s">
        <v>289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1:22" ht="15">
      <c r="K8" s="60" t="s">
        <v>290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1:22" ht="15">
      <c r="K9" s="60" t="s">
        <v>291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1:22" ht="15">
      <c r="K10" s="149" t="s">
        <v>292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1:22" ht="15"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1:22" ht="15">
      <c r="K12" s="60" t="s">
        <v>346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1:22" ht="15"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1:22" ht="15">
      <c r="K14" s="60" t="s">
        <v>347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1:22" ht="15"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1:22" ht="15"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29" spans="1:1" ht="15">
      <c r="A29" s="149" t="s">
        <v>186</v>
      </c>
    </row>
  </sheetData>
  <sheetProtection password="CBCD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zoomScale="85" zoomScaleNormal="85" workbookViewId="0">
      <selection activeCell="I4" sqref="I4"/>
    </sheetView>
  </sheetViews>
  <sheetFormatPr defaultRowHeight="14.25"/>
  <cols>
    <col min="1" max="1" width="7.375" customWidth="1"/>
    <col min="2" max="2" width="39.375" customWidth="1"/>
    <col min="3" max="3" width="14.25" customWidth="1"/>
    <col min="4" max="4" width="14.875" customWidth="1"/>
    <col min="5" max="5" width="19.625" customWidth="1"/>
    <col min="6" max="6" width="17.125" customWidth="1"/>
    <col min="7" max="7" width="17.75" customWidth="1"/>
    <col min="8" max="8" width="18.125" customWidth="1"/>
    <col min="9" max="9" width="15.125" customWidth="1"/>
    <col min="10" max="10" width="11.625" customWidth="1"/>
    <col min="11" max="11" width="11.75" customWidth="1"/>
    <col min="12" max="12" width="15" customWidth="1"/>
  </cols>
  <sheetData>
    <row r="2" spans="1:13" ht="15">
      <c r="B2" s="60" t="s">
        <v>311</v>
      </c>
      <c r="C2" s="60"/>
      <c r="D2" s="60"/>
      <c r="E2" s="60"/>
      <c r="I2" s="219" t="s">
        <v>334</v>
      </c>
      <c r="J2" s="220"/>
      <c r="K2" s="220"/>
      <c r="L2" s="220"/>
      <c r="M2" s="221"/>
    </row>
    <row r="3" spans="1:13" ht="109.5" customHeight="1">
      <c r="B3" s="61" t="s">
        <v>16</v>
      </c>
      <c r="C3" s="127" t="s">
        <v>341</v>
      </c>
      <c r="D3" s="127" t="s">
        <v>342</v>
      </c>
      <c r="E3" s="127" t="s">
        <v>63</v>
      </c>
      <c r="F3" s="61" t="s">
        <v>23</v>
      </c>
      <c r="G3" s="61" t="s">
        <v>200</v>
      </c>
      <c r="H3" s="61" t="s">
        <v>201</v>
      </c>
      <c r="I3" s="127" t="s">
        <v>333</v>
      </c>
      <c r="J3" s="127" t="s">
        <v>331</v>
      </c>
      <c r="K3" s="127" t="s">
        <v>332</v>
      </c>
      <c r="L3" s="127" t="s">
        <v>343</v>
      </c>
      <c r="M3" s="127" t="s">
        <v>341</v>
      </c>
    </row>
    <row r="4" spans="1:13" ht="15">
      <c r="A4" t="s">
        <v>309</v>
      </c>
      <c r="B4" s="113" t="s">
        <v>321</v>
      </c>
      <c r="C4" s="189">
        <v>0.64204799999999995</v>
      </c>
      <c r="D4" s="113">
        <v>0.8</v>
      </c>
      <c r="E4" s="113">
        <v>0.2</v>
      </c>
      <c r="F4" s="113">
        <v>0</v>
      </c>
      <c r="G4" s="190">
        <v>0.15119987904009677</v>
      </c>
      <c r="H4" s="190">
        <v>0.10079991936006451</v>
      </c>
      <c r="I4" s="176">
        <v>0.8</v>
      </c>
      <c r="J4" s="176">
        <v>0.96</v>
      </c>
      <c r="K4" s="176">
        <v>0.88</v>
      </c>
      <c r="L4" s="176">
        <v>0.95</v>
      </c>
      <c r="M4" s="177">
        <f>I4*J4*K4*L4</f>
        <v>0.64204799999999995</v>
      </c>
    </row>
    <row r="5" spans="1:13" ht="15">
      <c r="A5" t="s">
        <v>310</v>
      </c>
      <c r="B5" s="125" t="s">
        <v>319</v>
      </c>
      <c r="C5" s="189">
        <v>0.44684640000000003</v>
      </c>
      <c r="D5" s="113">
        <v>0.65</v>
      </c>
      <c r="E5" s="113">
        <v>0.2</v>
      </c>
      <c r="F5" s="113">
        <v>0</v>
      </c>
      <c r="G5" s="190">
        <v>2.7359978112017509</v>
      </c>
      <c r="H5" s="190">
        <v>2.663997868801705</v>
      </c>
      <c r="I5" s="176">
        <v>0.65</v>
      </c>
      <c r="J5" s="176">
        <v>0.96</v>
      </c>
      <c r="K5" s="176">
        <v>0.77</v>
      </c>
      <c r="L5" s="176">
        <v>0.93</v>
      </c>
      <c r="M5" s="177">
        <f t="shared" ref="M5:M16" si="0">I5*J5*K5*L5</f>
        <v>0.44684640000000003</v>
      </c>
    </row>
    <row r="6" spans="1:13" ht="15">
      <c r="A6" t="s">
        <v>309</v>
      </c>
      <c r="B6" s="113" t="s">
        <v>320</v>
      </c>
      <c r="C6" s="189">
        <v>0.56179199999999996</v>
      </c>
      <c r="D6" s="113">
        <v>0.75</v>
      </c>
      <c r="E6" s="113">
        <v>0.2</v>
      </c>
      <c r="F6" s="113">
        <v>0</v>
      </c>
      <c r="G6" s="190">
        <v>0.15119987904009677</v>
      </c>
      <c r="H6" s="190">
        <v>0.10079991936006451</v>
      </c>
      <c r="I6" s="176">
        <v>0.7</v>
      </c>
      <c r="J6" s="176">
        <v>0.96</v>
      </c>
      <c r="K6" s="176">
        <v>0.88</v>
      </c>
      <c r="L6" s="176">
        <v>0.95</v>
      </c>
      <c r="M6" s="177">
        <f t="shared" si="0"/>
        <v>0.56179199999999996</v>
      </c>
    </row>
    <row r="7" spans="1:13" ht="15">
      <c r="B7" s="113" t="s">
        <v>61</v>
      </c>
      <c r="C7" s="189">
        <v>0.82790399999999997</v>
      </c>
      <c r="D7" s="113">
        <v>0.98</v>
      </c>
      <c r="E7" s="113">
        <v>1.3</v>
      </c>
      <c r="F7" s="113">
        <v>0.34200000000000003</v>
      </c>
      <c r="G7" s="190">
        <v>0</v>
      </c>
      <c r="H7" s="190">
        <v>0</v>
      </c>
      <c r="I7" s="176">
        <v>0.98</v>
      </c>
      <c r="J7" s="176">
        <v>0.96</v>
      </c>
      <c r="K7" s="176">
        <v>0.88</v>
      </c>
      <c r="L7" s="176">
        <v>1</v>
      </c>
      <c r="M7" s="177">
        <f t="shared" si="0"/>
        <v>0.82790399999999997</v>
      </c>
    </row>
    <row r="8" spans="1:13" ht="15">
      <c r="B8" s="113" t="s">
        <v>60</v>
      </c>
      <c r="C8" s="189">
        <v>0.82790399999999997</v>
      </c>
      <c r="D8" s="113">
        <v>0.98</v>
      </c>
      <c r="E8" s="113">
        <v>0.8</v>
      </c>
      <c r="F8" s="113">
        <v>0.33200000000000002</v>
      </c>
      <c r="G8" s="190">
        <v>0</v>
      </c>
      <c r="H8" s="190">
        <v>0</v>
      </c>
      <c r="I8" s="176">
        <v>0.98</v>
      </c>
      <c r="J8" s="176">
        <v>0.96</v>
      </c>
      <c r="K8" s="176">
        <v>0.88</v>
      </c>
      <c r="L8" s="176">
        <v>1</v>
      </c>
      <c r="M8" s="177">
        <f t="shared" si="0"/>
        <v>0.82790399999999997</v>
      </c>
    </row>
    <row r="9" spans="1:13" ht="15">
      <c r="B9" s="113" t="s">
        <v>121</v>
      </c>
      <c r="C9" s="189">
        <v>0.60392639999999997</v>
      </c>
      <c r="D9" s="113">
        <v>0.83</v>
      </c>
      <c r="E9" s="113">
        <v>1.1000000000000001</v>
      </c>
      <c r="F9" s="113">
        <v>0.20100000000000001</v>
      </c>
      <c r="G9" s="190">
        <v>2.5199979840016123E-3</v>
      </c>
      <c r="H9" s="190">
        <v>2.5199979840016123E-3</v>
      </c>
      <c r="I9" s="176">
        <v>0.86</v>
      </c>
      <c r="J9" s="176">
        <v>0.96</v>
      </c>
      <c r="K9" s="176">
        <v>0.77</v>
      </c>
      <c r="L9" s="176">
        <v>0.95</v>
      </c>
      <c r="M9" s="177">
        <f t="shared" si="0"/>
        <v>0.60392639999999997</v>
      </c>
    </row>
    <row r="10" spans="1:13" ht="15">
      <c r="B10" s="113" t="s">
        <v>122</v>
      </c>
      <c r="C10" s="189">
        <v>0.75440639999999992</v>
      </c>
      <c r="D10" s="113">
        <v>0.85</v>
      </c>
      <c r="E10" s="113">
        <v>1.1000000000000001</v>
      </c>
      <c r="F10" s="113">
        <v>0.20100000000000001</v>
      </c>
      <c r="G10" s="190">
        <v>2.5199979840016123E-3</v>
      </c>
      <c r="H10" s="190">
        <v>2.5199979840016123E-3</v>
      </c>
      <c r="I10" s="176">
        <v>0.94</v>
      </c>
      <c r="J10" s="176">
        <v>0.96</v>
      </c>
      <c r="K10" s="176">
        <v>0.88</v>
      </c>
      <c r="L10" s="176">
        <v>0.95</v>
      </c>
      <c r="M10" s="177">
        <f t="shared" si="0"/>
        <v>0.75440639999999992</v>
      </c>
    </row>
    <row r="11" spans="1:13" ht="15">
      <c r="B11" s="113" t="s">
        <v>17</v>
      </c>
      <c r="C11" s="189">
        <v>0.60392639999999997</v>
      </c>
      <c r="D11" s="113">
        <v>0.83</v>
      </c>
      <c r="E11" s="113">
        <v>1.1000000000000001</v>
      </c>
      <c r="F11" s="113">
        <v>0.22700000000000001</v>
      </c>
      <c r="G11" s="190">
        <v>1.8E-3</v>
      </c>
      <c r="H11" s="190">
        <v>1.8E-3</v>
      </c>
      <c r="I11" s="176">
        <v>0.86</v>
      </c>
      <c r="J11" s="176">
        <v>0.96</v>
      </c>
      <c r="K11" s="176">
        <v>0.77</v>
      </c>
      <c r="L11" s="176">
        <v>0.95</v>
      </c>
      <c r="M11" s="177">
        <f t="shared" si="0"/>
        <v>0.60392639999999997</v>
      </c>
    </row>
    <row r="12" spans="1:13" ht="15">
      <c r="B12" s="113" t="s">
        <v>18</v>
      </c>
      <c r="C12" s="189">
        <v>0.75440639999999992</v>
      </c>
      <c r="D12" s="113">
        <v>0.85</v>
      </c>
      <c r="E12" s="113">
        <v>1.1000000000000001</v>
      </c>
      <c r="F12" s="113">
        <v>0.22700000000000001</v>
      </c>
      <c r="G12" s="190">
        <v>1.8E-3</v>
      </c>
      <c r="H12" s="190">
        <v>1.8E-3</v>
      </c>
      <c r="I12" s="176">
        <v>0.94</v>
      </c>
      <c r="J12" s="176">
        <v>0.96</v>
      </c>
      <c r="K12" s="176">
        <v>0.88</v>
      </c>
      <c r="L12" s="176">
        <v>0.95</v>
      </c>
      <c r="M12" s="177">
        <f t="shared" si="0"/>
        <v>0.75440639999999992</v>
      </c>
    </row>
    <row r="13" spans="1:13" ht="15">
      <c r="B13" s="113" t="s">
        <v>21</v>
      </c>
      <c r="C13" s="189">
        <v>0.60392639999999997</v>
      </c>
      <c r="D13" s="113">
        <v>0.83</v>
      </c>
      <c r="E13" s="113">
        <v>1.1000000000000001</v>
      </c>
      <c r="F13" s="113">
        <v>0.26700000000000002</v>
      </c>
      <c r="G13" s="190">
        <v>2.5199979840016123E-3</v>
      </c>
      <c r="H13" s="190">
        <v>2.5199979840016123E-3</v>
      </c>
      <c r="I13" s="176">
        <v>0.86</v>
      </c>
      <c r="J13" s="176">
        <v>0.96</v>
      </c>
      <c r="K13" s="176">
        <v>0.77</v>
      </c>
      <c r="L13" s="176">
        <v>0.95</v>
      </c>
      <c r="M13" s="177">
        <f t="shared" si="0"/>
        <v>0.60392639999999997</v>
      </c>
    </row>
    <row r="14" spans="1:13" ht="30">
      <c r="B14" s="125" t="s">
        <v>326</v>
      </c>
      <c r="C14" s="189">
        <v>2.9685600000000001</v>
      </c>
      <c r="D14" s="113">
        <v>3</v>
      </c>
      <c r="E14" s="113">
        <v>3</v>
      </c>
      <c r="F14" s="113">
        <v>0.78100000000000003</v>
      </c>
      <c r="G14" s="190">
        <v>0</v>
      </c>
      <c r="H14" s="190">
        <v>0</v>
      </c>
      <c r="I14" s="176">
        <v>3.5</v>
      </c>
      <c r="J14" s="176">
        <v>0.96</v>
      </c>
      <c r="K14" s="176">
        <v>0.93</v>
      </c>
      <c r="L14" s="176">
        <v>0.95</v>
      </c>
      <c r="M14" s="177">
        <f t="shared" si="0"/>
        <v>2.9685600000000001</v>
      </c>
    </row>
    <row r="15" spans="1:13" ht="15">
      <c r="B15" s="113" t="s">
        <v>325</v>
      </c>
      <c r="C15" s="189">
        <v>2.2052160000000001</v>
      </c>
      <c r="D15" s="113">
        <v>2.6</v>
      </c>
      <c r="E15" s="113">
        <v>3</v>
      </c>
      <c r="F15" s="113">
        <v>0.78100000000000003</v>
      </c>
      <c r="G15" s="190">
        <v>0</v>
      </c>
      <c r="H15" s="190">
        <v>0</v>
      </c>
      <c r="I15" s="176">
        <v>2.6</v>
      </c>
      <c r="J15" s="176">
        <v>0.96</v>
      </c>
      <c r="K15" s="176">
        <v>0.93</v>
      </c>
      <c r="L15" s="176">
        <v>0.95</v>
      </c>
      <c r="M15" s="177">
        <f t="shared" si="0"/>
        <v>2.2052160000000001</v>
      </c>
    </row>
    <row r="16" spans="1:13" ht="15">
      <c r="B16" s="113" t="s">
        <v>327</v>
      </c>
      <c r="C16" s="189">
        <v>2.5444799999999996</v>
      </c>
      <c r="D16" s="113"/>
      <c r="E16" s="113">
        <v>3</v>
      </c>
      <c r="F16" s="113">
        <v>0.78100000000000003</v>
      </c>
      <c r="G16" s="190">
        <v>0</v>
      </c>
      <c r="H16" s="190">
        <v>0</v>
      </c>
      <c r="I16" s="176">
        <v>3</v>
      </c>
      <c r="J16" s="176">
        <v>0.96</v>
      </c>
      <c r="K16" s="176">
        <v>0.93</v>
      </c>
      <c r="L16" s="176">
        <v>0.95</v>
      </c>
      <c r="M16" s="177">
        <f t="shared" si="0"/>
        <v>2.5444799999999996</v>
      </c>
    </row>
    <row r="17" spans="1:13" ht="15">
      <c r="B17" s="113" t="s">
        <v>19</v>
      </c>
      <c r="C17" s="189"/>
      <c r="D17" s="113">
        <v>0.85</v>
      </c>
      <c r="E17" s="113">
        <v>1.1000000000000001</v>
      </c>
      <c r="F17" s="113">
        <v>0.20200000000000001</v>
      </c>
      <c r="G17" s="190">
        <v>2.5199979840016123E-3</v>
      </c>
      <c r="H17" s="190">
        <v>2.5199979840016123E-3</v>
      </c>
      <c r="I17" s="176"/>
      <c r="J17" s="176"/>
      <c r="K17" s="176"/>
      <c r="L17" s="176"/>
      <c r="M17" s="177"/>
    </row>
    <row r="18" spans="1:13" ht="15">
      <c r="B18" s="113" t="s">
        <v>20</v>
      </c>
      <c r="C18" s="189"/>
      <c r="D18" s="113">
        <v>0.5</v>
      </c>
      <c r="E18" s="113">
        <v>1.1000000000000001</v>
      </c>
      <c r="F18" s="113">
        <v>0.20200000000000001</v>
      </c>
      <c r="G18" s="190">
        <v>2.5199979840016123E-3</v>
      </c>
      <c r="H18" s="190">
        <v>2.5199979840016123E-3</v>
      </c>
      <c r="I18" s="176"/>
      <c r="J18" s="176"/>
      <c r="K18" s="176"/>
      <c r="L18" s="176"/>
      <c r="M18" s="177"/>
    </row>
    <row r="19" spans="1:13" ht="15">
      <c r="B19" s="113" t="s">
        <v>82</v>
      </c>
      <c r="C19" s="189">
        <v>0.91</v>
      </c>
      <c r="D19" s="113">
        <v>0.96</v>
      </c>
      <c r="E19" s="113">
        <v>3</v>
      </c>
      <c r="F19" s="113">
        <v>0.78100000000000003</v>
      </c>
      <c r="G19" s="190">
        <v>0</v>
      </c>
      <c r="H19" s="190">
        <v>0</v>
      </c>
      <c r="I19" s="176">
        <v>1</v>
      </c>
      <c r="J19" s="176">
        <v>1</v>
      </c>
      <c r="K19" s="176">
        <v>0.91</v>
      </c>
      <c r="L19" s="176">
        <v>1</v>
      </c>
      <c r="M19" s="177">
        <f t="shared" ref="M19:M29" si="1">I19*J19*K19*L19</f>
        <v>0.91</v>
      </c>
    </row>
    <row r="20" spans="1:13" ht="15">
      <c r="B20" s="113" t="s">
        <v>83</v>
      </c>
      <c r="C20" s="189">
        <v>0.85539999999999994</v>
      </c>
      <c r="D20" s="113">
        <v>0.99</v>
      </c>
      <c r="E20" s="113">
        <v>3</v>
      </c>
      <c r="F20" s="113">
        <v>0.78100000000000003</v>
      </c>
      <c r="G20" s="190">
        <v>0</v>
      </c>
      <c r="H20" s="190">
        <v>0</v>
      </c>
      <c r="I20" s="176">
        <v>0.94</v>
      </c>
      <c r="J20" s="176">
        <v>1</v>
      </c>
      <c r="K20" s="176">
        <v>0.91</v>
      </c>
      <c r="L20" s="176">
        <v>1</v>
      </c>
      <c r="M20" s="177">
        <f t="shared" si="1"/>
        <v>0.85539999999999994</v>
      </c>
    </row>
    <row r="21" spans="1:13" ht="15">
      <c r="B21" s="113" t="s">
        <v>227</v>
      </c>
      <c r="C21" s="189">
        <v>0.5912121600000001</v>
      </c>
      <c r="D21" s="113">
        <v>0.65</v>
      </c>
      <c r="E21" s="113">
        <v>1.1000000000000001</v>
      </c>
      <c r="F21" s="113">
        <v>0.20200000000000001</v>
      </c>
      <c r="G21" s="190">
        <v>2.5199979840016123E-3</v>
      </c>
      <c r="H21" s="190">
        <v>2.5199979840016123E-3</v>
      </c>
      <c r="I21" s="176">
        <v>0.86</v>
      </c>
      <c r="J21" s="176">
        <v>0.96</v>
      </c>
      <c r="K21" s="176">
        <v>0.77</v>
      </c>
      <c r="L21" s="176">
        <v>0.93</v>
      </c>
      <c r="M21" s="177">
        <f t="shared" si="1"/>
        <v>0.5912121600000001</v>
      </c>
    </row>
    <row r="22" spans="1:13" ht="15">
      <c r="A22" t="s">
        <v>310</v>
      </c>
      <c r="B22" s="113" t="s">
        <v>308</v>
      </c>
      <c r="C22" s="189">
        <v>0.4124736</v>
      </c>
      <c r="D22" s="113">
        <v>0.4</v>
      </c>
      <c r="E22" s="113">
        <v>1.1000000000000001</v>
      </c>
      <c r="F22" s="113">
        <v>0.34100000000000003</v>
      </c>
      <c r="G22" s="190">
        <v>1.5155987875209698</v>
      </c>
      <c r="H22" s="190">
        <v>1.173599061120751</v>
      </c>
      <c r="I22" s="176">
        <v>0.6</v>
      </c>
      <c r="J22" s="176">
        <v>0.96</v>
      </c>
      <c r="K22" s="176">
        <v>0.77</v>
      </c>
      <c r="L22" s="176">
        <v>0.93</v>
      </c>
      <c r="M22" s="177">
        <f t="shared" si="1"/>
        <v>0.4124736</v>
      </c>
    </row>
    <row r="23" spans="1:13" ht="30">
      <c r="A23" t="s">
        <v>310</v>
      </c>
      <c r="B23" s="125" t="s">
        <v>318</v>
      </c>
      <c r="C23" s="189">
        <v>0.6442444799999999</v>
      </c>
      <c r="D23" s="113">
        <v>0.65</v>
      </c>
      <c r="E23" s="113">
        <v>1.1000000000000001</v>
      </c>
      <c r="F23" s="113">
        <v>0.34100000000000003</v>
      </c>
      <c r="G23" s="190">
        <v>0.30239975808019354</v>
      </c>
      <c r="H23" s="190">
        <v>0.23399981280014975</v>
      </c>
      <c r="I23" s="176">
        <v>0.82</v>
      </c>
      <c r="J23" s="176">
        <v>0.96</v>
      </c>
      <c r="K23" s="176">
        <v>0.88</v>
      </c>
      <c r="L23" s="176">
        <v>0.93</v>
      </c>
      <c r="M23" s="177">
        <f t="shared" si="1"/>
        <v>0.6442444799999999</v>
      </c>
    </row>
    <row r="24" spans="1:13" ht="30">
      <c r="A24" t="s">
        <v>309</v>
      </c>
      <c r="B24" s="125" t="s">
        <v>344</v>
      </c>
      <c r="C24" s="113">
        <v>0.7</v>
      </c>
      <c r="D24" s="113"/>
      <c r="E24" s="113">
        <v>0.2</v>
      </c>
      <c r="F24" s="113">
        <v>0</v>
      </c>
      <c r="G24" s="190">
        <v>0.15119987904009677</v>
      </c>
      <c r="H24" s="190">
        <v>0.10079991936006451</v>
      </c>
      <c r="I24" s="176">
        <v>0.7</v>
      </c>
      <c r="J24" s="176">
        <v>1</v>
      </c>
      <c r="K24" s="176">
        <v>0.7</v>
      </c>
      <c r="L24" s="176">
        <v>1</v>
      </c>
      <c r="M24" s="177">
        <f t="shared" si="1"/>
        <v>0.48999999999999994</v>
      </c>
    </row>
    <row r="25" spans="1:13" ht="15">
      <c r="A25" t="s">
        <v>309</v>
      </c>
      <c r="B25" s="113" t="s">
        <v>204</v>
      </c>
      <c r="C25" s="189">
        <v>0.48999999999999994</v>
      </c>
      <c r="D25" s="113"/>
      <c r="E25" s="113">
        <v>0.2</v>
      </c>
      <c r="F25" s="113">
        <v>0</v>
      </c>
      <c r="G25" s="190">
        <v>0.15119987904009677</v>
      </c>
      <c r="H25" s="190">
        <v>0.10079991936006451</v>
      </c>
      <c r="I25" s="176">
        <v>0.7</v>
      </c>
      <c r="J25" s="176">
        <v>1</v>
      </c>
      <c r="K25" s="176">
        <v>0.7</v>
      </c>
      <c r="L25" s="176">
        <v>1</v>
      </c>
      <c r="M25" s="177">
        <f t="shared" si="1"/>
        <v>0.48999999999999994</v>
      </c>
    </row>
    <row r="26" spans="1:13" ht="15">
      <c r="A26" t="s">
        <v>310</v>
      </c>
      <c r="B26" s="113" t="s">
        <v>149</v>
      </c>
      <c r="C26" s="189">
        <v>0.13999999999999999</v>
      </c>
      <c r="D26" s="113"/>
      <c r="E26" s="113">
        <v>0.2</v>
      </c>
      <c r="F26" s="113">
        <v>0</v>
      </c>
      <c r="G26" s="190">
        <v>2.7359978112017509</v>
      </c>
      <c r="H26" s="190">
        <v>2.663997868801705</v>
      </c>
      <c r="I26" s="176">
        <v>0.2</v>
      </c>
      <c r="J26" s="176">
        <v>1</v>
      </c>
      <c r="K26" s="176">
        <v>0.7</v>
      </c>
      <c r="L26" s="176">
        <v>1</v>
      </c>
      <c r="M26" s="177">
        <f t="shared" si="1"/>
        <v>0.13999999999999999</v>
      </c>
    </row>
    <row r="27" spans="1:13" ht="15">
      <c r="A27" t="s">
        <v>310</v>
      </c>
      <c r="B27" s="113" t="s">
        <v>134</v>
      </c>
      <c r="C27" s="189">
        <v>0.55999999999999994</v>
      </c>
      <c r="D27" s="113"/>
      <c r="E27" s="113">
        <v>1.1000000000000001</v>
      </c>
      <c r="F27" s="113">
        <v>0.34100000000000003</v>
      </c>
      <c r="G27" s="190">
        <v>1.5155987875209698</v>
      </c>
      <c r="H27" s="190">
        <v>1.173599061120751</v>
      </c>
      <c r="I27" s="176">
        <v>0.8</v>
      </c>
      <c r="J27" s="176">
        <v>1</v>
      </c>
      <c r="K27" s="176">
        <v>0.7</v>
      </c>
      <c r="L27" s="176">
        <v>1</v>
      </c>
      <c r="M27" s="177">
        <f t="shared" si="1"/>
        <v>0.55999999999999994</v>
      </c>
    </row>
    <row r="28" spans="1:13" ht="15">
      <c r="B28" s="113" t="s">
        <v>22</v>
      </c>
      <c r="C28" s="189">
        <v>0.90090000000000003</v>
      </c>
      <c r="D28" s="113"/>
      <c r="E28" s="113">
        <v>3</v>
      </c>
      <c r="F28" s="113">
        <v>0.78100000000000003</v>
      </c>
      <c r="G28" s="190">
        <v>0</v>
      </c>
      <c r="H28" s="190">
        <v>0</v>
      </c>
      <c r="I28" s="176">
        <v>0.99</v>
      </c>
      <c r="J28" s="176">
        <v>1</v>
      </c>
      <c r="K28" s="176">
        <v>0.91</v>
      </c>
      <c r="L28" s="176">
        <v>1</v>
      </c>
      <c r="M28" s="177">
        <f t="shared" si="1"/>
        <v>0.90090000000000003</v>
      </c>
    </row>
    <row r="29" spans="1:13" ht="15">
      <c r="B29" s="159" t="s">
        <v>235</v>
      </c>
      <c r="C29" s="113">
        <v>0</v>
      </c>
      <c r="D29" s="113">
        <v>0</v>
      </c>
      <c r="E29" s="161">
        <v>1</v>
      </c>
      <c r="F29" s="113">
        <v>0</v>
      </c>
      <c r="G29" s="190">
        <v>0</v>
      </c>
      <c r="H29" s="190">
        <v>0</v>
      </c>
      <c r="I29" s="176">
        <v>0</v>
      </c>
      <c r="J29" s="176"/>
      <c r="K29" s="176"/>
      <c r="L29" s="176"/>
      <c r="M29" s="177">
        <f t="shared" si="1"/>
        <v>0</v>
      </c>
    </row>
    <row r="30" spans="1:13" ht="15">
      <c r="C30" s="60"/>
      <c r="D30" s="60"/>
      <c r="E30" s="60"/>
      <c r="F30" s="60"/>
    </row>
    <row r="31" spans="1:13" ht="15">
      <c r="B31" s="60"/>
      <c r="C31" s="60"/>
      <c r="D31" s="60"/>
      <c r="E31" s="60"/>
      <c r="F31" s="60"/>
      <c r="I31" s="217" t="s">
        <v>306</v>
      </c>
      <c r="J31" s="218"/>
      <c r="K31" s="217" t="s">
        <v>307</v>
      </c>
      <c r="L31" s="218"/>
    </row>
    <row r="32" spans="1:13" ht="45">
      <c r="B32" s="153" t="s">
        <v>205</v>
      </c>
      <c r="C32" s="154" t="s">
        <v>206</v>
      </c>
      <c r="D32" s="154" t="s">
        <v>206</v>
      </c>
      <c r="E32" s="154" t="s">
        <v>206</v>
      </c>
      <c r="F32" s="154" t="s">
        <v>207</v>
      </c>
      <c r="G32" s="154" t="s">
        <v>207</v>
      </c>
      <c r="H32" s="127" t="s">
        <v>293</v>
      </c>
      <c r="I32" s="154" t="s">
        <v>222</v>
      </c>
      <c r="J32" s="154" t="s">
        <v>223</v>
      </c>
      <c r="K32" s="154" t="s">
        <v>222</v>
      </c>
      <c r="L32" s="154" t="s">
        <v>223</v>
      </c>
    </row>
    <row r="33" spans="2:12" ht="15">
      <c r="B33" s="74" t="s">
        <v>66</v>
      </c>
      <c r="C33" s="155" t="s">
        <v>208</v>
      </c>
      <c r="D33" s="155" t="s">
        <v>209</v>
      </c>
      <c r="E33" s="75" t="s">
        <v>256</v>
      </c>
      <c r="F33" s="155" t="s">
        <v>210</v>
      </c>
      <c r="G33" s="155" t="s">
        <v>178</v>
      </c>
      <c r="H33" s="1"/>
      <c r="I33" s="155" t="s">
        <v>212</v>
      </c>
      <c r="J33" s="155" t="s">
        <v>212</v>
      </c>
      <c r="K33" s="155" t="s">
        <v>212</v>
      </c>
      <c r="L33" s="155" t="s">
        <v>212</v>
      </c>
    </row>
    <row r="34" spans="2:12" ht="15">
      <c r="B34" s="116" t="s">
        <v>323</v>
      </c>
      <c r="C34" s="155">
        <v>15.6</v>
      </c>
      <c r="D34" s="155"/>
      <c r="E34" s="160">
        <f>C34*0.2778</f>
        <v>4.3336800000000002</v>
      </c>
      <c r="F34" s="155">
        <v>112</v>
      </c>
      <c r="G34" s="180">
        <v>0</v>
      </c>
      <c r="H34" s="163">
        <v>0.2</v>
      </c>
      <c r="I34" s="190">
        <v>2.7359978112017509</v>
      </c>
      <c r="J34" s="190">
        <v>2.663997868801705</v>
      </c>
      <c r="K34" s="190">
        <v>0.15119987904009677</v>
      </c>
      <c r="L34" s="190">
        <v>0.10079991936006451</v>
      </c>
    </row>
    <row r="35" spans="2:12" ht="15">
      <c r="B35" s="116" t="s">
        <v>46</v>
      </c>
      <c r="C35" s="155">
        <v>22.67</v>
      </c>
      <c r="D35" s="155"/>
      <c r="E35" s="160">
        <f>C35*0.2778</f>
        <v>6.2977259999999999</v>
      </c>
      <c r="F35" s="155">
        <v>94.72</v>
      </c>
      <c r="G35" s="171">
        <f>F35/277.778</f>
        <v>0.34099172720661819</v>
      </c>
      <c r="H35" s="163">
        <v>1.1000000000000001</v>
      </c>
      <c r="I35" s="190">
        <v>1.5155987875209698</v>
      </c>
      <c r="J35" s="190">
        <v>1.173599061120751</v>
      </c>
      <c r="K35" s="190">
        <v>0.30239975808019354</v>
      </c>
      <c r="L35" s="190">
        <v>0.23399981280014975</v>
      </c>
    </row>
    <row r="36" spans="2:12" ht="15">
      <c r="B36" s="116" t="s">
        <v>219</v>
      </c>
      <c r="C36" s="155">
        <v>8.1300000000000008</v>
      </c>
      <c r="D36" s="155"/>
      <c r="E36" s="160">
        <f>C36*0.2778</f>
        <v>2.2585140000000004</v>
      </c>
      <c r="F36" s="155">
        <v>104.12</v>
      </c>
      <c r="G36" s="171">
        <f>F36/277.778</f>
        <v>0.3748317001346399</v>
      </c>
      <c r="H36" s="163">
        <v>1.1000000000000001</v>
      </c>
      <c r="I36" s="190">
        <v>1.0230111815910548</v>
      </c>
      <c r="J36" s="190">
        <v>0.79217936625650698</v>
      </c>
      <c r="K36" s="190">
        <v>1.0230111815910548</v>
      </c>
      <c r="L36" s="190">
        <v>0.79217936625650698</v>
      </c>
    </row>
    <row r="37" spans="2:12" ht="15">
      <c r="B37" s="116" t="s">
        <v>211</v>
      </c>
      <c r="C37" s="155">
        <v>43</v>
      </c>
      <c r="D37" s="155"/>
      <c r="E37" s="160">
        <f>C37*0.2778</f>
        <v>11.945399999999999</v>
      </c>
      <c r="F37" s="155">
        <v>74.099999999999994</v>
      </c>
      <c r="G37" s="171">
        <f>F37/277.778</f>
        <v>0.2667597865921707</v>
      </c>
      <c r="H37" s="163">
        <v>1.1000000000000001</v>
      </c>
      <c r="I37" s="190">
        <v>7.1999942400046077E-3</v>
      </c>
      <c r="J37" s="190">
        <v>6.8399945280043766E-3</v>
      </c>
      <c r="K37" s="190">
        <v>7.1999942400046077E-3</v>
      </c>
      <c r="L37" s="190">
        <v>6.8399945280043766E-3</v>
      </c>
    </row>
    <row r="38" spans="2:12" ht="15">
      <c r="B38" s="116" t="s">
        <v>213</v>
      </c>
      <c r="C38" s="155"/>
      <c r="D38" s="155">
        <v>36.299999999999997</v>
      </c>
      <c r="E38" s="160">
        <f>D38*0.2778</f>
        <v>10.08414</v>
      </c>
      <c r="F38" s="155">
        <v>56.1</v>
      </c>
      <c r="G38" s="171">
        <f>F38/277.778</f>
        <v>0.20195983843212925</v>
      </c>
      <c r="H38" s="163">
        <v>1.1000000000000001</v>
      </c>
      <c r="I38" s="190">
        <v>2.5199979840016123E-3</v>
      </c>
      <c r="J38" s="190">
        <v>2.5199979840016123E-3</v>
      </c>
      <c r="K38" s="190">
        <v>2.5199979840016123E-3</v>
      </c>
      <c r="L38" s="190">
        <v>2.5199979840016123E-3</v>
      </c>
    </row>
    <row r="39" spans="2:12" ht="15">
      <c r="B39" s="116" t="s">
        <v>220</v>
      </c>
      <c r="C39" s="155">
        <v>47.3</v>
      </c>
      <c r="D39" s="155"/>
      <c r="E39" s="160">
        <f>C39*0.2778</f>
        <v>13.139939999999999</v>
      </c>
      <c r="F39" s="155">
        <v>63.1</v>
      </c>
      <c r="G39" s="171">
        <f>F39/277.778</f>
        <v>0.22715981827214538</v>
      </c>
      <c r="H39" s="163">
        <v>1.1000000000000001</v>
      </c>
      <c r="I39" s="190">
        <v>1.8E-3</v>
      </c>
      <c r="J39" s="190">
        <v>1.8E-3</v>
      </c>
      <c r="K39" s="190">
        <v>1.8E-3</v>
      </c>
      <c r="L39" s="190">
        <v>1.8E-3</v>
      </c>
    </row>
    <row r="40" spans="2:12" ht="15">
      <c r="B40" s="116" t="s">
        <v>214</v>
      </c>
      <c r="C40" s="1"/>
      <c r="D40" s="1"/>
      <c r="E40" s="170">
        <v>1</v>
      </c>
      <c r="F40" s="192">
        <f>G40*277.778</f>
        <v>216.94461800000002</v>
      </c>
      <c r="G40" s="171">
        <v>0.78100000000000003</v>
      </c>
      <c r="H40" s="163">
        <v>3</v>
      </c>
      <c r="I40" s="190">
        <v>0</v>
      </c>
      <c r="J40" s="190">
        <v>0</v>
      </c>
      <c r="K40" s="190">
        <v>0</v>
      </c>
      <c r="L40" s="190">
        <v>0</v>
      </c>
    </row>
    <row r="41" spans="2:12" ht="15">
      <c r="B41" s="116" t="s">
        <v>221</v>
      </c>
      <c r="C41" s="1"/>
      <c r="D41" s="1"/>
      <c r="E41" s="170">
        <v>0</v>
      </c>
      <c r="F41" s="1"/>
      <c r="G41" s="171">
        <v>0</v>
      </c>
      <c r="H41" s="163">
        <v>0</v>
      </c>
      <c r="I41" s="190">
        <v>0</v>
      </c>
      <c r="J41" s="190">
        <v>0</v>
      </c>
      <c r="K41" s="190">
        <v>0</v>
      </c>
      <c r="L41" s="190">
        <v>0</v>
      </c>
    </row>
    <row r="42" spans="2:12" ht="15">
      <c r="B42" s="176" t="s">
        <v>330</v>
      </c>
      <c r="C42" s="182">
        <v>21.77</v>
      </c>
      <c r="D42" s="183"/>
      <c r="E42" s="184">
        <v>1</v>
      </c>
      <c r="F42" s="182">
        <v>92.3</v>
      </c>
      <c r="G42" s="179">
        <f>F42/277.778</f>
        <v>0.33227973417621265</v>
      </c>
      <c r="H42" s="185">
        <v>0.8</v>
      </c>
      <c r="I42" s="174"/>
      <c r="J42" s="174"/>
      <c r="K42" s="174"/>
      <c r="L42" s="174"/>
    </row>
    <row r="43" spans="2:12" ht="15">
      <c r="B43" s="176" t="s">
        <v>65</v>
      </c>
      <c r="C43" s="182">
        <v>8.1199999999999992</v>
      </c>
      <c r="D43" s="183"/>
      <c r="E43" s="184">
        <v>1</v>
      </c>
      <c r="F43" s="182">
        <v>110.77</v>
      </c>
      <c r="G43" s="179">
        <f>F43/277.778</f>
        <v>0.3987716809826552</v>
      </c>
      <c r="H43" s="185">
        <v>0.8</v>
      </c>
      <c r="I43" s="174"/>
      <c r="J43" s="174"/>
      <c r="K43" s="174"/>
      <c r="L43" s="174"/>
    </row>
    <row r="44" spans="2:12" ht="15">
      <c r="B44" s="176" t="s">
        <v>61</v>
      </c>
      <c r="C44" s="182">
        <v>21.77</v>
      </c>
      <c r="D44" s="183"/>
      <c r="E44" s="184">
        <v>1</v>
      </c>
      <c r="F44" s="182">
        <v>94.93</v>
      </c>
      <c r="G44" s="179">
        <f>F44/277.778</f>
        <v>0.34174772660181874</v>
      </c>
      <c r="H44" s="185">
        <v>1.3</v>
      </c>
      <c r="I44" s="174"/>
      <c r="J44" s="174"/>
      <c r="K44" s="174"/>
      <c r="L44" s="174"/>
    </row>
    <row r="45" spans="2:12" ht="15">
      <c r="B45" s="176" t="s">
        <v>329</v>
      </c>
      <c r="C45" s="182">
        <v>8.32</v>
      </c>
      <c r="D45" s="183"/>
      <c r="E45" s="184">
        <v>1</v>
      </c>
      <c r="F45" s="182">
        <v>109.77</v>
      </c>
      <c r="G45" s="179">
        <f>F45/277.778</f>
        <v>0.39517168386265289</v>
      </c>
      <c r="H45" s="185">
        <v>1.3</v>
      </c>
      <c r="I45" s="174"/>
      <c r="J45" s="174"/>
      <c r="K45" s="174"/>
      <c r="L45" s="174"/>
    </row>
    <row r="47" spans="2:12">
      <c r="B47" s="157" t="s">
        <v>216</v>
      </c>
    </row>
    <row r="48" spans="2:12">
      <c r="B48" s="157" t="s">
        <v>215</v>
      </c>
    </row>
    <row r="49" spans="2:11">
      <c r="B49" s="158" t="s">
        <v>217</v>
      </c>
      <c r="K49" s="178"/>
    </row>
    <row r="50" spans="2:11">
      <c r="B50" s="158" t="s">
        <v>229</v>
      </c>
    </row>
    <row r="51" spans="2:11">
      <c r="B51" s="181" t="s">
        <v>328</v>
      </c>
    </row>
    <row r="53" spans="2:11">
      <c r="B53" s="99" t="s">
        <v>189</v>
      </c>
      <c r="C53" s="99" t="s">
        <v>192</v>
      </c>
      <c r="D53" s="99" t="s">
        <v>195</v>
      </c>
      <c r="E53" s="99" t="s">
        <v>193</v>
      </c>
      <c r="F53" s="99" t="s">
        <v>196</v>
      </c>
    </row>
    <row r="54" spans="2:11" ht="15">
      <c r="B54" s="100" t="s">
        <v>230</v>
      </c>
      <c r="C54" s="101">
        <v>421</v>
      </c>
      <c r="D54" s="101">
        <v>326</v>
      </c>
      <c r="E54" s="103">
        <f>C54/ 277.778</f>
        <v>1.5155987875209698</v>
      </c>
      <c r="F54" s="103">
        <f>D54/ 277.778</f>
        <v>1.173599061120751</v>
      </c>
      <c r="G54" s="175" t="s">
        <v>324</v>
      </c>
    </row>
    <row r="55" spans="2:11">
      <c r="B55" s="100" t="s">
        <v>219</v>
      </c>
      <c r="C55" s="101">
        <v>284.17</v>
      </c>
      <c r="D55" s="101">
        <v>220.05</v>
      </c>
      <c r="E55" s="103">
        <f t="shared" ref="E55:F61" si="2">C55/ 277.778</f>
        <v>1.0230111815910548</v>
      </c>
      <c r="F55" s="103">
        <f t="shared" si="2"/>
        <v>0.79217936625650698</v>
      </c>
    </row>
    <row r="56" spans="2:11">
      <c r="B56" s="100" t="s">
        <v>213</v>
      </c>
      <c r="C56" s="101">
        <v>0.7</v>
      </c>
      <c r="D56" s="101">
        <v>0.7</v>
      </c>
      <c r="E56" s="103">
        <f>C56/ 277.778</f>
        <v>2.5199979840016123E-3</v>
      </c>
      <c r="F56" s="103">
        <f t="shared" si="2"/>
        <v>2.5199979840016123E-3</v>
      </c>
    </row>
    <row r="57" spans="2:11">
      <c r="B57" s="100" t="s">
        <v>55</v>
      </c>
      <c r="C57" s="101">
        <v>2</v>
      </c>
      <c r="D57" s="101">
        <v>1.9</v>
      </c>
      <c r="E57" s="103">
        <f t="shared" si="2"/>
        <v>7.1999942400046077E-3</v>
      </c>
      <c r="F57" s="103">
        <f t="shared" si="2"/>
        <v>6.8399945280043766E-3</v>
      </c>
    </row>
    <row r="58" spans="2:11" ht="15">
      <c r="B58" s="100" t="s">
        <v>231</v>
      </c>
      <c r="C58" s="101">
        <v>760</v>
      </c>
      <c r="D58" s="101">
        <v>740</v>
      </c>
      <c r="E58" s="103">
        <f t="shared" si="2"/>
        <v>2.7359978112017509</v>
      </c>
      <c r="F58" s="103">
        <f t="shared" si="2"/>
        <v>2.663997868801705</v>
      </c>
    </row>
    <row r="59" spans="2:11" ht="15">
      <c r="B59" s="100" t="s">
        <v>232</v>
      </c>
      <c r="C59" s="101">
        <v>42</v>
      </c>
      <c r="D59" s="101">
        <v>28</v>
      </c>
      <c r="E59" s="103">
        <f t="shared" si="2"/>
        <v>0.15119987904009677</v>
      </c>
      <c r="F59" s="103">
        <f t="shared" si="2"/>
        <v>0.10079991936006451</v>
      </c>
    </row>
    <row r="60" spans="2:11">
      <c r="B60" s="100" t="s">
        <v>167</v>
      </c>
      <c r="C60" s="101">
        <v>0</v>
      </c>
      <c r="D60" s="101">
        <v>0</v>
      </c>
      <c r="E60" s="103">
        <f t="shared" si="2"/>
        <v>0</v>
      </c>
      <c r="F60" s="103">
        <f t="shared" si="2"/>
        <v>0</v>
      </c>
    </row>
    <row r="61" spans="2:11">
      <c r="B61" s="100" t="s">
        <v>67</v>
      </c>
      <c r="C61" s="101">
        <v>0</v>
      </c>
      <c r="D61" s="101">
        <v>0</v>
      </c>
      <c r="E61" s="103">
        <f t="shared" si="2"/>
        <v>0</v>
      </c>
      <c r="F61" s="103">
        <f t="shared" si="2"/>
        <v>0</v>
      </c>
    </row>
    <row r="62" spans="2:11">
      <c r="B62" s="122"/>
      <c r="C62" s="123"/>
      <c r="D62" s="123"/>
      <c r="E62" s="124"/>
      <c r="F62" s="124"/>
      <c r="G62" s="102"/>
    </row>
    <row r="63" spans="2:11" ht="59.25" customHeight="1">
      <c r="B63" s="216" t="s">
        <v>233</v>
      </c>
      <c r="C63" s="216"/>
      <c r="D63" s="216"/>
      <c r="E63" s="216"/>
      <c r="F63" s="216"/>
    </row>
  </sheetData>
  <sheetProtection sheet="1" objects="1" scenarios="1"/>
  <mergeCells count="4">
    <mergeCell ref="B63:F63"/>
    <mergeCell ref="I31:J31"/>
    <mergeCell ref="K31:L31"/>
    <mergeCell ref="I2:M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obliczenia</vt:lpstr>
      <vt:lpstr>CWU</vt:lpstr>
      <vt:lpstr>scop pompy</vt:lpstr>
      <vt:lpstr>urządzenia pomocnicze</vt:lpstr>
      <vt:lpstr>kolektory słoneczne</vt:lpstr>
      <vt:lpstr>fotowoltaika</vt:lpstr>
      <vt:lpstr>emisje i wskaźniki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rabskaa</cp:lastModifiedBy>
  <dcterms:created xsi:type="dcterms:W3CDTF">2018-09-12T11:08:44Z</dcterms:created>
  <dcterms:modified xsi:type="dcterms:W3CDTF">2020-06-26T07:04:46Z</dcterms:modified>
</cp:coreProperties>
</file>